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MEMÓRIA ONERADA" sheetId="1" r:id="rId1"/>
    <sheet name="PLANILHA FINAL" sheetId="2" r:id="rId2"/>
    <sheet name="CRONOGRAM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DDDDDD" localSheetId="2">#REF!*#REF!</definedName>
    <definedName name="__DDDDDD" localSheetId="0">#REF!*#REF!</definedName>
    <definedName name="__DDDDDD" localSheetId="1">#REF!*#REF!</definedName>
    <definedName name="__DDDDDD">#REF!*#REF!</definedName>
    <definedName name="__shared_1_0_0" localSheetId="2">#REF!*#REF!</definedName>
    <definedName name="__shared_1_0_0" localSheetId="0">#REF!*#REF!</definedName>
    <definedName name="__shared_1_0_0" localSheetId="1">#REF!*#REF!</definedName>
    <definedName name="__shared_1_0_0">#REF!*#REF!</definedName>
    <definedName name="__shared_1_1_0" localSheetId="2">#REF!*#REF!</definedName>
    <definedName name="__shared_1_1_0" localSheetId="0">#REF!*#REF!</definedName>
    <definedName name="__shared_1_1_0" localSheetId="1">#REF!*#REF!</definedName>
    <definedName name="__shared_1_1_0">#REF!*#REF!</definedName>
    <definedName name="__shared_1_2_0" localSheetId="2">#REF!*#REF!</definedName>
    <definedName name="__shared_1_2_0" localSheetId="0">#REF!*#REF!</definedName>
    <definedName name="__shared_1_2_0" localSheetId="1">#REF!*#REF!</definedName>
    <definedName name="__shared_1_2_0">#REF!*#REF!</definedName>
    <definedName name="__shared_1_3_0" localSheetId="2">#REF!*#REF!</definedName>
    <definedName name="__shared_1_3_0" localSheetId="0">#REF!*#REF!</definedName>
    <definedName name="__shared_1_3_0" localSheetId="1">#REF!*#REF!</definedName>
    <definedName name="__shared_1_3_0">#REF!*#REF!</definedName>
    <definedName name="__shared_1_3_1" localSheetId="2">#REF!*#REF!</definedName>
    <definedName name="__shared_1_3_1" localSheetId="0">#REF!*#REF!</definedName>
    <definedName name="__shared_1_3_1" localSheetId="1">#REF!*#REF!</definedName>
    <definedName name="__shared_1_3_1">#REF!*#REF!</definedName>
    <definedName name="__shared_1_4_0" localSheetId="2">#REF!*#REF!</definedName>
    <definedName name="__shared_1_4_0" localSheetId="0">#REF!*#REF!</definedName>
    <definedName name="__shared_1_4_0" localSheetId="1">#REF!*#REF!</definedName>
    <definedName name="__shared_1_4_0">#REF!*#REF!</definedName>
    <definedName name="__shared_1_5_0" localSheetId="2">#REF!*#REF!</definedName>
    <definedName name="__shared_1_5_0" localSheetId="0">#REF!*#REF!</definedName>
    <definedName name="__shared_1_5_0" localSheetId="1">#REF!*#REF!</definedName>
    <definedName name="__shared_1_5_0">#REF!*#REF!</definedName>
    <definedName name="__shared_2_0_0" localSheetId="2">#REF!*#REF!</definedName>
    <definedName name="__shared_2_0_0" localSheetId="0">#REF!*#REF!</definedName>
    <definedName name="__shared_2_0_0" localSheetId="1">#REF!*#REF!</definedName>
    <definedName name="__shared_2_0_0">#REF!*#REF!</definedName>
    <definedName name="__shared_3_0_0" localSheetId="2">SUM(#REF!)</definedName>
    <definedName name="__shared_3_0_0" localSheetId="0">SUM(#REF!)</definedName>
    <definedName name="__shared_3_0_0" localSheetId="1">SUM(#REF!)</definedName>
    <definedName name="__shared_3_0_0">SUM(#REF!)</definedName>
    <definedName name="EXTRACT" localSheetId="2">'CRONOGRAMA'!#REF!</definedName>
    <definedName name="_xlnm.Print_Area" localSheetId="2">'CRONOGRAMA'!$A$1:$G$25</definedName>
    <definedName name="_xlnm.Print_Area" localSheetId="0">'MEMÓRIA ONERADA'!$A$1:$I$125</definedName>
    <definedName name="_xlnm.Print_Area" localSheetId="1">'PLANILHA FINAL'!$A$1:$I$38</definedName>
    <definedName name="BDI" localSheetId="2">#REF!</definedName>
    <definedName name="BDI" localSheetId="0">#REF!</definedName>
    <definedName name="BDI" localSheetId="1">#REF!</definedName>
    <definedName name="BDI">#REF!</definedName>
    <definedName name="CRITERIA" localSheetId="2">'CRONOGRAMA'!#REF!</definedName>
    <definedName name="cronog" localSheetId="2">#REF!</definedName>
    <definedName name="cronog" localSheetId="0">#REF!</definedName>
    <definedName name="cronog" localSheetId="1">#REF!</definedName>
    <definedName name="cronog">#REF!</definedName>
    <definedName name="GGGGGGGGGGGG" localSheetId="2">#REF!*#REF!</definedName>
    <definedName name="GGGGGGGGGGGG">#REF!*#REF!</definedName>
    <definedName name="HHHHHHHHHHH" localSheetId="2">#REF!</definedName>
    <definedName name="HHHHHHHHHHH" localSheetId="0">#REF!</definedName>
    <definedName name="HHHHHHHHHHH" localSheetId="1">#REF!</definedName>
    <definedName name="HHHHHHHHHHH">#REF!</definedName>
    <definedName name="KKK" localSheetId="2">#REF!*#REF!</definedName>
    <definedName name="KKK" localSheetId="0">#REF!*#REF!</definedName>
    <definedName name="KKK" localSheetId="1">#REF!*#REF!</definedName>
    <definedName name="KKK">#REF!*#REF!</definedName>
    <definedName name="kkkk" localSheetId="2">#REF!</definedName>
    <definedName name="kkkk" localSheetId="0">#REF!</definedName>
    <definedName name="kkkk" localSheetId="1">#REF!</definedName>
    <definedName name="kkkk">#REF!</definedName>
    <definedName name="KKKKKKKKKKKKK" localSheetId="2">#REF!</definedName>
    <definedName name="KKKKKKKKKKKKK" localSheetId="0">#REF!</definedName>
    <definedName name="KKKKKKKKKKKKK" localSheetId="1">#REF!</definedName>
    <definedName name="KKKKKKKKKKKKK">#REF!</definedName>
    <definedName name="KKKKKKKKKKKKKKK" localSheetId="2">#REF!*#REF!</definedName>
    <definedName name="KKKKKKKKKKKKKKK">#REF!*#REF!</definedName>
    <definedName name="llllll" localSheetId="2">#REF!*#REF!</definedName>
    <definedName name="llllll">#REF!*#REF!</definedName>
    <definedName name="LLLLLLL" localSheetId="2">#REF!</definedName>
    <definedName name="LLLLLLL" localSheetId="0">#REF!</definedName>
    <definedName name="LLLLLLL" localSheetId="1">#REF!</definedName>
    <definedName name="LLLLLLL">#REF!</definedName>
    <definedName name="LLLLLLLL" localSheetId="2">#REF!</definedName>
    <definedName name="LLLLLLLL" localSheetId="0">#REF!</definedName>
    <definedName name="LLLLLLLL" localSheetId="1">#REF!</definedName>
    <definedName name="LLLLLLLL">#REF!</definedName>
    <definedName name="LOLOLOLOLOL" localSheetId="2">#REF!</definedName>
    <definedName name="LOLOLOLOLOL" localSheetId="0">#REF!</definedName>
    <definedName name="LOLOLOLOLOL" localSheetId="1">#REF!</definedName>
    <definedName name="LOLOLOLOLOL">#REF!</definedName>
    <definedName name="MEM_A" localSheetId="2">#REF!</definedName>
    <definedName name="MEM_A" localSheetId="0">#REF!</definedName>
    <definedName name="MEM_A" localSheetId="1">#REF!</definedName>
    <definedName name="MEM_A">#REF!</definedName>
    <definedName name="MEN_B" localSheetId="2">#REF!</definedName>
    <definedName name="MEN_B" localSheetId="0">#REF!</definedName>
    <definedName name="MEN_B" localSheetId="1">#REF!</definedName>
    <definedName name="MEN_B">#REF!</definedName>
    <definedName name="OKOKOKOKO" localSheetId="2">#REF!</definedName>
    <definedName name="OKOKOKOKO" localSheetId="0">#REF!</definedName>
    <definedName name="OKOKOKOKO" localSheetId="1">#REF!</definedName>
    <definedName name="OKOKOKOKO">#REF!</definedName>
    <definedName name="OKOKOKOKOK" localSheetId="2">#REF!</definedName>
    <definedName name="OKOKOKOKOK" localSheetId="0">#REF!</definedName>
    <definedName name="OKOKOKOKOK" localSheetId="1">#REF!</definedName>
    <definedName name="OKOKOKOKOK">#REF!</definedName>
    <definedName name="OnerADO" localSheetId="2">#REF!</definedName>
    <definedName name="OnerADO" localSheetId="0">#REF!</definedName>
    <definedName name="OnerADO" localSheetId="1">#REF!</definedName>
    <definedName name="OnerADO">#REF!</definedName>
    <definedName name="ORÇ_A" localSheetId="2">#REF!</definedName>
    <definedName name="ORÇ_A" localSheetId="0">#REF!</definedName>
    <definedName name="ORÇ_A" localSheetId="1">#REF!</definedName>
    <definedName name="ORÇ_A">#REF!</definedName>
    <definedName name="ORÇ_B" localSheetId="2">#REF!</definedName>
    <definedName name="ORÇ_B" localSheetId="0">#REF!</definedName>
    <definedName name="ORÇ_B" localSheetId="1">#REF!</definedName>
    <definedName name="ORÇ_B">#REF!</definedName>
    <definedName name="ORÇ_D" localSheetId="2">#REF!</definedName>
    <definedName name="ORÇ_D" localSheetId="0">#REF!</definedName>
    <definedName name="ORÇ_D" localSheetId="1">#REF!</definedName>
    <definedName name="ORÇ_D">#REF!</definedName>
    <definedName name="orcb" localSheetId="2">#REF!</definedName>
    <definedName name="orcb" localSheetId="0">#REF!</definedName>
    <definedName name="orcb" localSheetId="1">#REF!</definedName>
    <definedName name="orcb">#REF!</definedName>
    <definedName name="PPPPPPP" localSheetId="2">SUM(#REF!)</definedName>
    <definedName name="PPPPPPP" localSheetId="0">SUM(#REF!)</definedName>
    <definedName name="PPPPPPP" localSheetId="1">SUM(#REF!)</definedName>
    <definedName name="PPPPPPP">SUM(#REF!)</definedName>
    <definedName name="RRRRRRRR" localSheetId="2">SUM(#REF!)</definedName>
    <definedName name="RRRRRRRR">SUM(#REF!)</definedName>
    <definedName name="_xlnm.Print_Titles" localSheetId="2">'CRONOGRAMA'!$11:$13</definedName>
  </definedNames>
  <calcPr fullCalcOnLoad="1"/>
</workbook>
</file>

<file path=xl/sharedStrings.xml><?xml version="1.0" encoding="utf-8"?>
<sst xmlns="http://schemas.openxmlformats.org/spreadsheetml/2006/main" count="483" uniqueCount="185">
  <si>
    <t>M2</t>
  </si>
  <si>
    <t>M</t>
  </si>
  <si>
    <t>H</t>
  </si>
  <si>
    <t>TOTAL</t>
  </si>
  <si>
    <t>1.1</t>
  </si>
  <si>
    <t>1.2</t>
  </si>
  <si>
    <t>UN</t>
  </si>
  <si>
    <t>4.1</t>
  </si>
  <si>
    <t>1.0</t>
  </si>
  <si>
    <t>2.0</t>
  </si>
  <si>
    <t>3.0</t>
  </si>
  <si>
    <t>4.0</t>
  </si>
  <si>
    <t>5.0</t>
  </si>
  <si>
    <t xml:space="preserve">Estado do Rio de Janeiro                                                        </t>
  </si>
  <si>
    <t>Prefeitura Municipal de Barra Mansa</t>
  </si>
  <si>
    <t xml:space="preserve">Secretaria Municipal de Planejamento Urbano </t>
  </si>
  <si>
    <t>ITEM</t>
  </si>
  <si>
    <t>CODIGO EMOP/ SINAPI</t>
  </si>
  <si>
    <t>QUANT.</t>
  </si>
  <si>
    <t>PREÇOS (R$)</t>
  </si>
  <si>
    <t>UNIT</t>
  </si>
  <si>
    <t xml:space="preserve">CRONOGRAMA  FÍSICO-FINANCEIRO </t>
  </si>
  <si>
    <t>DESCRIÇÃO</t>
  </si>
  <si>
    <t>PERÍODO</t>
  </si>
  <si>
    <t>30 DIAS</t>
  </si>
  <si>
    <t>TOTAL DOS</t>
  </si>
  <si>
    <t>FÍSICO</t>
  </si>
  <si>
    <t>FINANCEIRO</t>
  </si>
  <si>
    <t>SERVIÇOS</t>
  </si>
  <si>
    <t>TOTAL DA OBRA POR MEDIÇÃO</t>
  </si>
  <si>
    <t>TOTAL ACUMULADO DA OBRA</t>
  </si>
  <si>
    <t>Desembolso parcial por medição %</t>
  </si>
  <si>
    <t>Desembolso máximo acumulado %</t>
  </si>
  <si>
    <t>X</t>
  </si>
  <si>
    <t>2.1</t>
  </si>
  <si>
    <t>TOTAL 2.0</t>
  </si>
  <si>
    <t>3.1</t>
  </si>
  <si>
    <t>3.2</t>
  </si>
  <si>
    <t>TOTAL 3.0</t>
  </si>
  <si>
    <t>TOTAL 1.0</t>
  </si>
  <si>
    <t>TOTAL 4.0</t>
  </si>
  <si>
    <t>5.1</t>
  </si>
  <si>
    <t>5.2</t>
  </si>
  <si>
    <t>TOTAL 5.0</t>
  </si>
  <si>
    <t>KG</t>
  </si>
  <si>
    <t>01999</t>
  </si>
  <si>
    <t>M3</t>
  </si>
  <si>
    <t>01968</t>
  </si>
  <si>
    <t>05.001.0023-0</t>
  </si>
  <si>
    <t>3.3</t>
  </si>
  <si>
    <t>3.4</t>
  </si>
  <si>
    <t>3.5</t>
  </si>
  <si>
    <t>00559</t>
  </si>
  <si>
    <t>01983</t>
  </si>
  <si>
    <t>06913</t>
  </si>
  <si>
    <t>Discriminação</t>
  </si>
  <si>
    <t>3.6</t>
  </si>
  <si>
    <t>05.001.0134-0</t>
  </si>
  <si>
    <t>00022</t>
  </si>
  <si>
    <t>MAO-DE-OBRA DE SERVENTE DA CONSTRUCAO CIVIL, INCLUSIVE ENCARGOS SOCIAIS</t>
  </si>
  <si>
    <t>MAO-DE-OBRA DE PEDREIRO, INCLUSIVE ENCARGOS SOCIAIS</t>
  </si>
  <si>
    <t>TOTAL C/ BDI</t>
  </si>
  <si>
    <t>Memória de cálculo  Consideraado BDI DE 22,47%  (ONERADO)</t>
  </si>
  <si>
    <t>UNIT C/ BDI</t>
  </si>
  <si>
    <t>ELETROCALHA LISA,COM TAMPA,TIPO "U",400X50MM,TRATAMENTO SUPERFICIAL PRE-ZINCADO A QUENTE,INCLUSIVE CONEXOES,ACESSORIOS E FIXACAO SUPERIOR.FORNECIMENTO E COLOCACAO (OBS.:3%-DESGASTE DE FERRAMENTAS E EPI 20%-CONEXOES).</t>
  </si>
  <si>
    <t>MAO-DE-OBRA DE ELETRICISTA DE CONSTRUCAOCIVIL, INCLUSIVE ENCARGOS SOCIAIS</t>
  </si>
  <si>
    <t>12003</t>
  </si>
  <si>
    <t>CURVA HORIZONTAL, 90§, PARA ELETROCALHAPERFURADA OU LISA, 400X50MM, PRE-ZINCADA</t>
  </si>
  <si>
    <t>CURVA HORIZONTAL,90§,PARA ELETROCALHA PERFURADA OU LISA,400X50MM.FORNECIMENTO E COLOCACAO (OBS.:3%-DESGASTE DE FERRAMENTAS E EPI).</t>
  </si>
  <si>
    <t>ELETRICISTA COM ENCARGOS COMPLEMENTARES</t>
  </si>
  <si>
    <t>AUXILIAR DE ELETRICISTA COM ENCARGOS COMPLEMENTARES</t>
  </si>
  <si>
    <t>02317</t>
  </si>
  <si>
    <t>FITA ISOLANTE, ROLO DE 19MMX20M</t>
  </si>
  <si>
    <t>CABO DE COBRE FLEXIVEL COM ISOLAMENTO TERMOPLASTICO,COMPREENDENDO:PREPARO,CORTE E ENFIACAO EM ELETRODUTOS,NA BITOLA DE 1 85MM2, 450/750V.FORNECIMENTO E COLOCACAO (OBS.:3%-DESGASTE DE FERRAMENTAS E EPI).</t>
  </si>
  <si>
    <t>01576</t>
  </si>
  <si>
    <t>PERFIL "I" DE ACO CARBONO, PADRAO AMERICANO, PRECO DE REVENDEDOR, DE 6"X3.3/8"</t>
  </si>
  <si>
    <t>15.018.0555-0</t>
  </si>
  <si>
    <t>15.018.0615-0</t>
  </si>
  <si>
    <t>15.008.0140-0</t>
  </si>
  <si>
    <t>04276</t>
  </si>
  <si>
    <t>CABO DE COBRE FLEXIVEL COM ISOLAMENTO TERMOPLASTICO, DE 450/750V, DE 185MM2</t>
  </si>
  <si>
    <t>ORÇAMENTO: Engª Fernanda Aparecida Cunha de Souza</t>
  </si>
  <si>
    <t>Serviço : CONSTRUÇÃO DE RADIER PARA RECEBIMENTO DE GERADOR ELÉTRICO</t>
  </si>
  <si>
    <t>Local: Av. Tenente José Eduardo, 200 - Ano Bom, Barra Mansa - RJ</t>
  </si>
  <si>
    <t>60 DIAS</t>
  </si>
  <si>
    <r>
      <t>Secretaria Municipal de Planejamento Urbano</t>
    </r>
    <r>
      <rPr>
        <sz val="20"/>
        <rFont val="Arial"/>
        <family val="2"/>
      </rPr>
      <t xml:space="preserve"> </t>
    </r>
  </si>
  <si>
    <t>Orçamentista: Engª Fernanda Aparecida Cunha de souza</t>
  </si>
  <si>
    <t>CONSTRUÇÃO DE RADIER PARA RECEBIMENTO DE GERADOR ELÉTRICO</t>
  </si>
  <si>
    <t>APROVAÇÃO: Eng. Eros dos Santos</t>
  </si>
  <si>
    <t>04.014.0095-0</t>
  </si>
  <si>
    <t>RETIRADA DE ENTULHO DE OBRA COM CACAMBA DE ACO TIPO CONTAINER COM 5M3 DE CAPACIDADE,INCLUSIVE CARREGAMENTO,TRANSPORTE E DESCARREGAMENTO.CUSTO POR UNIDADE DE CACAMBA E INCLUI A TAXA PARA DESCARGA EM LOCAIS AUTORIZADOS (OBS.:3%-DESGASTE DE FERRAMENTAS E EPI).</t>
  </si>
  <si>
    <t>00222</t>
  </si>
  <si>
    <t>GRAXA COMUM P/LUBRIFICACAO DE CHASSIS, EM TAMBORES DE 170KG</t>
  </si>
  <si>
    <t>00220</t>
  </si>
  <si>
    <t>OLEO LUBRIFICANTE MINERAL MULTIVISCOSO,CLASSIFICACAO API CG-4, GRAU SAE 20W-40</t>
  </si>
  <si>
    <t>L</t>
  </si>
  <si>
    <t>00218</t>
  </si>
  <si>
    <t>OLEO DIESEL COMBUSTIVEL COMUM, NA BOMBA</t>
  </si>
  <si>
    <t>01970</t>
  </si>
  <si>
    <t>MAO-DE-OBRA DE OPERADOR DE MAQUINA (TRATOR, ETC), INCLUSIVE ENCARGOS SOCIAIS</t>
  </si>
  <si>
    <t>13889</t>
  </si>
  <si>
    <t>TAMPA DE ENCAIXE PARA ELETROCALHA PERFURADA OU LISA, 400X3000MM</t>
  </si>
  <si>
    <t>13878</t>
  </si>
  <si>
    <t>SUPORTE SUSPENSAO OMEGA P/ELETROCALHA PERFURADA OU LISA 400X50MM (LARGURA X ABA)</t>
  </si>
  <si>
    <t>11967</t>
  </si>
  <si>
    <t>ELETROCALHA LISA, SEM VIROLA, MED. (400X50X3000), PRE-ZINCADA, SEM TAMPA</t>
  </si>
  <si>
    <t>07641</t>
  </si>
  <si>
    <t>ARRUELA LISA DE DIAMETRO INTERNO, DE 1/4"</t>
  </si>
  <si>
    <t>07639</t>
  </si>
  <si>
    <t>PROLONGADOR PARA TIRANTE ROSQUEADO, DE 1/4"</t>
  </si>
  <si>
    <t>07637</t>
  </si>
  <si>
    <t>TIRANTE ROSQUEADO, DE 1/4"X3000MM</t>
  </si>
  <si>
    <t>05568</t>
  </si>
  <si>
    <t>PORCA ALTA, DE 1/4"</t>
  </si>
  <si>
    <t>05565</t>
  </si>
  <si>
    <t>PINO COM ROSCA, EM CAIXAS COM 100 PECAS,NO DIAMETRO DE 1/4", DE (30X20)MM</t>
  </si>
  <si>
    <t>So00000088264</t>
  </si>
  <si>
    <t>So00000088247</t>
  </si>
  <si>
    <t>15.008.0120-0</t>
  </si>
  <si>
    <t>CABO DE COBRE FLEXIVEL COM ISOLAMENTO TERMOPLASTICO,COMPREENDENDO:PREPARO,CORTE E ENFIACAO EM ELETRODUTOS,NA BITOLA DE 7 0MM2, 450/750V.FORNECIMENTO E COLOCACAO (OBS.:3%-DESGASTE DE FERRAMENTAS E EPI).</t>
  </si>
  <si>
    <t>02364</t>
  </si>
  <si>
    <t>CABO DE COBRE FLEXIVEL COM ISOLAMENTO TERMOPLASTICO, DE 450/750V, DE 70MM2</t>
  </si>
  <si>
    <t>15.008.0145-0</t>
  </si>
  <si>
    <t>CABO DE COBRE FLEXIVEL COM ISOLAMENTO TERMOPLASTICO,COMPREENDENDO:PREPARO,CORTE E ENFIACAO EM ELETRODUTOS,NA BITOLA DE 2 40MM2, 450/750V.FORNECIMENTO E COLOCACAO (OBS.:3%-DESGASTE DE FERRAMENTAS E EPI).</t>
  </si>
  <si>
    <t>02488</t>
  </si>
  <si>
    <t>CABO DE COBRE FLEXIVEL COM ISOLAMENTO TERMOPLASTICO, DE 450V/750V, DE 240MM2</t>
  </si>
  <si>
    <t>So00000095730</t>
  </si>
  <si>
    <t>ELETRODUTO RÍGIDO SOLDÁVEL, PVC, DN 25 MM (3/4), APARENTE, INSTALADO EM PAREDE - FORNECIMENTO E INSTALAÇÃO. AF_11/2016_P</t>
  </si>
  <si>
    <t>So0002678</t>
  </si>
  <si>
    <t>ELETRODUTO DE PVC RIGIDO SOLDAVEL, CLASSE B, DE 25 MM</t>
  </si>
  <si>
    <t>So00000091173</t>
  </si>
  <si>
    <t>CONSTRUÇÃO DE ALVENARIA</t>
  </si>
  <si>
    <t>12.003.0055-0</t>
  </si>
  <si>
    <t>ALVENARIA DE TIJOLOS CERAMICOS FURADOS 10X20X20CM,ASSENTES COM ARGAMASSA DE CIMENTO E SAIBRO,NO TRACO 1:8,EM PAREDES DE UMA VEZ(0,20M),DE SUPERFICIE CORRIDA,ATE 3,00M DE ALTURA E MEDIDA PELA AREA REAL (OBS.:3%-DESGASTE DE FERRAMENTAS E EPI).</t>
  </si>
  <si>
    <t>TIJOLO CERAMICO, FURADO, DE (10X20X20)CM</t>
  </si>
  <si>
    <t>01613</t>
  </si>
  <si>
    <t>07.006.0025-1 ARGAMASSA CIM.,SAIBRO TRACO 1:8,PREPAROMECANICO</t>
  </si>
  <si>
    <t>DEMOLICAO MANUAL DE ALVENARIA DE TIJOLOS FURADOS,INCLUSIVE EMPILHAMENTO LATERAL DENTRO DO CANTEIRO DE SERVICO (OBS.:3%- DESGASTE DE FERRAMENTAS E EPI).</t>
  </si>
  <si>
    <t>SERVIÇOS PRELIMINARES</t>
  </si>
  <si>
    <t>ARRANCAMENTO DE PORTAS,JANELAS E CAIXILHOS DE AR CONDICIONADO OU OUTROS (OBS.:3%-DESGASTE DE FERRAMENTAS E EPI).</t>
  </si>
  <si>
    <t>IÇAMENTO DE EQUIPAMENTO</t>
  </si>
  <si>
    <t>19.004.0054-3</t>
  </si>
  <si>
    <t>GUINDASTE SOBRE RODAS,CAPACIDADE DE 15T,RAIO DE CURVA DE 4,65M,LANCA TELESCOPICA DE ACIONAMENTO HIDRAULICO COM 7,60M RET RAIDA E 18,30M ESTENDIDA,INCLUSIVE OPERADOR E AUXILIAR (OBS.:50%-FILTRO).</t>
  </si>
  <si>
    <t>01476</t>
  </si>
  <si>
    <t>GUINDASTE SOBRE RODAS, PRECO SEM PNEUS,COM CAPACIDADE DE 15T</t>
  </si>
  <si>
    <t>BERÇO PARA GERADOR</t>
  </si>
  <si>
    <t>10.014.0001-0</t>
  </si>
  <si>
    <t>PERFIL SIMPLES "I" OU "H" ATE 8",INCLUSIVE PERDAS.FORNECIMENTO</t>
  </si>
  <si>
    <t>ALUMINIO EM PERFIL TUBULAR EXTRUDADO, LIGA COMUM</t>
  </si>
  <si>
    <t>MAO-DE-OBRA DE SERRALHEIRO DA CONSTRUCAOCIVIL, INCLUSIVE ENCARGOS SOCIAIS</t>
  </si>
  <si>
    <t>14.003.0225-0</t>
  </si>
  <si>
    <r>
      <t>Data-Base:   EMOP -  RJ / SINAPI e SCO-RJ-</t>
    </r>
    <r>
      <rPr>
        <b/>
        <sz val="12"/>
        <rFont val="Arial"/>
        <family val="2"/>
      </rPr>
      <t xml:space="preserve"> Onerado -</t>
    </r>
    <r>
      <rPr>
        <sz val="12"/>
        <rFont val="Arial"/>
        <family val="2"/>
      </rPr>
      <t xml:space="preserve"> Base MAIO- 2021</t>
    </r>
  </si>
  <si>
    <t>FIXAÇÃO DE TUBOS VERTICAIS DE PPR DIÂMETROS MENORES OU IGUAIS A 40 MM COM ABRAÇADEIRA METÁLICA RÍGIDA TIPO D 1/2", FIXADA EM PERFILADO EM ALVENARIA. AF_05/2015</t>
  </si>
  <si>
    <t>ORÇAMENTO Nº 019-2021</t>
  </si>
  <si>
    <t>DATA: 13/07/2021</t>
  </si>
  <si>
    <t>10962</t>
  </si>
  <si>
    <t>ALUGUEL CACAMBA DE ACO TIPO CONTAINER C/5M3 CAPAC.P/RETIRADA ENTULHO OBRA,INCL.CARREGA.,TRANSP.E DESCAR.LOCAIS AUTORIZ.</t>
  </si>
  <si>
    <t>TRANSPORTE E BOTA-FORA</t>
  </si>
  <si>
    <t>TOTAL GERAL=</t>
  </si>
  <si>
    <t>INSTALAÇÃO ELÉTRICA</t>
  </si>
  <si>
    <t>6.0</t>
  </si>
  <si>
    <t>6.1</t>
  </si>
  <si>
    <t>TOTAL6.0</t>
  </si>
  <si>
    <t>LEVANTAMENTO: Artqº Abimar Cavalcante de Cunha</t>
  </si>
  <si>
    <t>Planilha Orçamentária - Consideraado BDI DE 22,47%  (ONERADO)</t>
  </si>
  <si>
    <t>UNIT.</t>
  </si>
  <si>
    <t>UNIT. COM BDI</t>
  </si>
  <si>
    <t>TOTAL COM BDI</t>
  </si>
  <si>
    <t>ALVENARIA DE TIJOLOS CERAMICOS FURADOS 10X20X20CM,ASSENTES COM ARGAMASSA DE CIMENTO E SAIBRO,NO TRACO 1:8,EM PAREDES DE UMA VEZ(0,20M),DE SUPERFICIE CORRIDA,ATE 3,00M DE ALTURA E MEDIDA PELA AREA REAL (OBS.:3%-DESGASTE DE FERRAMENTAS E EPI).               (Suportes de eletrocalha e Cobertura da antiga porta do deposito)</t>
  </si>
  <si>
    <t>Data-Base:   EMOP -  RJ / SINAPI e SCO-RJ- Onerado - Base maio-2021</t>
  </si>
  <si>
    <t>2.2</t>
  </si>
  <si>
    <t>13.001.0065-1</t>
  </si>
  <si>
    <t>REVESTIMENTO EXTERNO,EMBOCO,DE UMA VEZ,COM ARGAMASSA DE CIMENTO,CAL HIDRATADA ADITIVADA E AREIA,NO TRACO 1:1:12,COM ESPE SSURA DE 2,5CM,INCLUSIVE CHAPISCO DE CIMENTO E AREIA,NO TRACO 1:3 (OBS.:3%-DESGASTE DE FERRAMENTAS E EPI).</t>
  </si>
  <si>
    <t>15235</t>
  </si>
  <si>
    <t>07.005.0035-1 ARGAMASSA CIM.,CAL HIDR.AREIA-EMBOC.EXT.PREPARO MECANICO</t>
  </si>
  <si>
    <t>03084</t>
  </si>
  <si>
    <t>13.001.0010-1 CHAPISCO SUPERF. CONCR./ALVEN.,COM ARGAMASSA DE CIMENTO E AREIA NO TRACO 1:3</t>
  </si>
  <si>
    <t>PORTA DE ALUMINIO ANODIZADO AO NATURAL,PERFIL SERIE 25,EM VENEZIANA INCLUSIVE FECHADURA.FORNECIMENTO E COLOCACAO.</t>
  </si>
  <si>
    <t xml:space="preserve"> ALVENARIA E REVESTIMENTO</t>
  </si>
  <si>
    <t>3.7</t>
  </si>
  <si>
    <t>15.007.0617-0</t>
  </si>
  <si>
    <t>DISJUNTOR TERMOMAGNETICO,TRIPOLAR,DE 800A,85KA,MODELO CAIXA MOLDADA,TIPO C.FORNECIMENTO E COLOCACAO (OBS.:3%-DESGASTE DE FERRAMENTAS E EPI).</t>
  </si>
  <si>
    <t>14722</t>
  </si>
  <si>
    <t>DISJUNTOR, TRIPOLAR, 800A, 85KA, MODELOCAIXA MOLDADA, TIPO C</t>
  </si>
  <si>
    <t>PORTA DE ALUMINIO ANODIZADO AO NATURAL,PERFIL SERIE 25,EM VENEZIANA,INCLUSIVE FECHADURA.FORNECIMENTO E COLOCACAO (OBS.:3%-DESGASTE DE FERRAMENTAS E EPI 39%-ANODIZACAO E ACESSORIOS).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</si>
</sst>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00"/>
    <numFmt numFmtId="171" formatCode="#,##0.00000"/>
    <numFmt numFmtId="172" formatCode="0.0%"/>
    <numFmt numFmtId="173" formatCode="_([$€]* #,##0.00_);_([$€]* \(#,##0.00\);_([$€]* &quot;-&quot;??_);_(@_)"/>
    <numFmt numFmtId="174" formatCode="_(* #,##0.00_);_(* \(#,##0.00\);_(* &quot;-&quot;??_);_(@_)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#,##0.00_ ;\-#,##0.00\ 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mmm/yyyy"/>
    <numFmt numFmtId="194" formatCode="&quot;R$&quot;\ #,##0.00"/>
    <numFmt numFmtId="195" formatCode="General\ "/>
    <numFmt numFmtId="196" formatCode="dd/mm/yy;@"/>
    <numFmt numFmtId="197" formatCode="&quot;R$ &quot;#,##0.00"/>
    <numFmt numFmtId="198" formatCode="0.000%"/>
    <numFmt numFmtId="199" formatCode="_ * #,##0.00_ ;_ * \-#,##0.00_ ;_ * &quot;-&quot;??_ ;_ @_ "/>
    <numFmt numFmtId="200" formatCode="#,#00"/>
    <numFmt numFmtId="201" formatCode="&quot;R$ &quot;#,##0.00;[Red]&quot;R$ &quot;#,##0.00"/>
    <numFmt numFmtId="202" formatCode="&quot;R$&quot;\ #,##0.000"/>
    <numFmt numFmtId="203" formatCode="&quot; R$ &quot;* #,##0.00\ ;&quot; R$ &quot;* \(#,##0.00\);&quot; R$ &quot;* \-#\ ;@\ "/>
    <numFmt numFmtId="204" formatCode="%#,#00"/>
    <numFmt numFmtId="205" formatCode="#.#####"/>
    <numFmt numFmtId="206" formatCode="#,"/>
    <numFmt numFmtId="207" formatCode="#,##0.000"/>
    <numFmt numFmtId="208" formatCode="[$-416]dddd\,\ d&quot; de &quot;mmmm&quot; de &quot;yyyy"/>
    <numFmt numFmtId="209" formatCode="#,##0.00_ ;[Red]\-#,##0.00\ "/>
    <numFmt numFmtId="210" formatCode="&quot;R$&quot;#,##0.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Switzerland"/>
      <family val="0"/>
    </font>
    <font>
      <b/>
      <sz val="20"/>
      <name val="Arial"/>
      <family val="2"/>
    </font>
    <font>
      <b/>
      <sz val="16"/>
      <name val="Arial"/>
      <family val="2"/>
    </font>
    <font>
      <sz val="11"/>
      <name val="Switzerland"/>
      <family val="0"/>
    </font>
    <font>
      <b/>
      <sz val="15"/>
      <color indexed="56"/>
      <name val="Calibri"/>
      <family val="2"/>
    </font>
    <font>
      <sz val="10"/>
      <name val="Times New Roman"/>
      <family val="1"/>
    </font>
    <font>
      <b/>
      <sz val="15"/>
      <color indexed="48"/>
      <name val="Calibri"/>
      <family val="2"/>
    </font>
    <font>
      <sz val="1"/>
      <color indexed="8"/>
      <name val="Courier New"/>
      <family val="3"/>
    </font>
    <font>
      <sz val="12"/>
      <name val="Courier New"/>
      <family val="3"/>
    </font>
    <font>
      <b/>
      <sz val="1"/>
      <color indexed="8"/>
      <name val="Courier New"/>
      <family val="3"/>
    </font>
    <font>
      <sz val="20"/>
      <name val="Arial"/>
      <family val="2"/>
    </font>
    <font>
      <sz val="20"/>
      <name val="Switzerland"/>
      <family val="0"/>
    </font>
    <font>
      <b/>
      <sz val="20"/>
      <color indexed="10"/>
      <name val="Arial"/>
      <family val="2"/>
    </font>
    <font>
      <sz val="20"/>
      <color indexed="10"/>
      <name val="Arial"/>
      <family val="2"/>
    </font>
    <font>
      <sz val="24"/>
      <name val="Switzerland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2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13" fillId="0" borderId="0">
      <alignment/>
      <protection locked="0"/>
    </xf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200" fontId="13" fillId="0" borderId="0">
      <alignment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5" fontId="14" fillId="0" borderId="0">
      <alignment/>
      <protection/>
    </xf>
    <xf numFmtId="203" fontId="1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0" fontId="0" fillId="31" borderId="4" applyNumberFormat="0" applyFont="0" applyAlignment="0" applyProtection="0"/>
    <xf numFmtId="204" fontId="13" fillId="0" borderId="0">
      <alignment/>
      <protection locked="0"/>
    </xf>
    <xf numFmtId="205" fontId="13" fillId="0" borderId="0">
      <alignment/>
      <protection locked="0"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32" borderId="0" applyNumberFormat="0" applyBorder="0" applyAlignment="0" applyProtection="0"/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200" fontId="2" fillId="0" borderId="0" applyFill="0" applyBorder="0" applyAlignment="0" applyProtection="0"/>
    <xf numFmtId="194" fontId="2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0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206" fontId="15" fillId="0" borderId="0">
      <alignment/>
      <protection locked="0"/>
    </xf>
    <xf numFmtId="206" fontId="15" fillId="0" borderId="0">
      <alignment/>
      <protection locked="0"/>
    </xf>
    <xf numFmtId="0" fontId="61" fillId="0" borderId="10" applyNumberFormat="0" applyFill="0" applyAlignment="0" applyProtection="0"/>
    <xf numFmtId="43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6">
    <xf numFmtId="0" fontId="0" fillId="0" borderId="0" xfId="0" applyFont="1" applyAlignment="1">
      <alignment/>
    </xf>
    <xf numFmtId="0" fontId="0" fillId="0" borderId="0" xfId="0" applyAlignment="1">
      <alignment horizontal="justify" vertical="justify" wrapText="1"/>
    </xf>
    <xf numFmtId="49" fontId="62" fillId="33" borderId="11" xfId="88" applyNumberFormat="1" applyFont="1" applyFill="1" applyBorder="1" applyAlignment="1">
      <alignment horizontal="center"/>
      <protection/>
    </xf>
    <xf numFmtId="4" fontId="62" fillId="33" borderId="12" xfId="73" applyNumberFormat="1" applyFont="1" applyFill="1" applyBorder="1" applyAlignment="1">
      <alignment horizontal="left" readingOrder="1"/>
      <protection/>
    </xf>
    <xf numFmtId="4" fontId="62" fillId="33" borderId="11" xfId="89" applyNumberFormat="1" applyFont="1" applyFill="1" applyBorder="1" applyAlignment="1">
      <alignment horizontal="left" vertical="center"/>
      <protection/>
    </xf>
    <xf numFmtId="4" fontId="62" fillId="33" borderId="12" xfId="0" applyNumberFormat="1" applyFont="1" applyFill="1" applyBorder="1" applyAlignment="1">
      <alignment horizontal="left"/>
    </xf>
    <xf numFmtId="4" fontId="62" fillId="33" borderId="12" xfId="88" applyNumberFormat="1" applyFont="1" applyFill="1" applyBorder="1" applyAlignment="1">
      <alignment horizontal="left"/>
      <protection/>
    </xf>
    <xf numFmtId="49" fontId="62" fillId="33" borderId="13" xfId="88" applyNumberFormat="1" applyFont="1" applyFill="1" applyBorder="1" applyAlignment="1">
      <alignment horizontal="center"/>
      <protection/>
    </xf>
    <xf numFmtId="4" fontId="62" fillId="33" borderId="0" xfId="73" applyNumberFormat="1" applyFont="1" applyFill="1" applyBorder="1" applyAlignment="1">
      <alignment horizontal="left" readingOrder="1"/>
      <protection/>
    </xf>
    <xf numFmtId="4" fontId="62" fillId="33" borderId="13" xfId="89" applyNumberFormat="1" applyFont="1" applyFill="1" applyBorder="1" applyAlignment="1">
      <alignment horizontal="left" vertical="center"/>
      <protection/>
    </xf>
    <xf numFmtId="4" fontId="62" fillId="33" borderId="0" xfId="88" applyNumberFormat="1" applyFont="1" applyFill="1" applyBorder="1" applyAlignment="1">
      <alignment horizontal="left"/>
      <protection/>
    </xf>
    <xf numFmtId="4" fontId="62" fillId="33" borderId="0" xfId="73" applyNumberFormat="1" applyFont="1" applyFill="1" applyBorder="1" applyAlignment="1">
      <alignment horizontal="left"/>
      <protection/>
    </xf>
    <xf numFmtId="0" fontId="5" fillId="0" borderId="14" xfId="0" applyFont="1" applyFill="1" applyBorder="1" applyAlignment="1">
      <alignment horizontal="center" vertical="center"/>
    </xf>
    <xf numFmtId="0" fontId="3" fillId="0" borderId="15" xfId="85" applyFont="1" applyBorder="1">
      <alignment/>
      <protection/>
    </xf>
    <xf numFmtId="0" fontId="3" fillId="0" borderId="0" xfId="85" applyFont="1">
      <alignment/>
      <protection/>
    </xf>
    <xf numFmtId="0" fontId="6" fillId="0" borderId="0" xfId="85">
      <alignment/>
      <protection/>
    </xf>
    <xf numFmtId="0" fontId="3" fillId="0" borderId="16" xfId="85" applyFont="1" applyBorder="1">
      <alignment/>
      <protection/>
    </xf>
    <xf numFmtId="0" fontId="3" fillId="0" borderId="17" xfId="85" applyFont="1" applyBorder="1">
      <alignment/>
      <protection/>
    </xf>
    <xf numFmtId="0" fontId="9" fillId="0" borderId="0" xfId="85" applyFont="1">
      <alignment/>
      <protection/>
    </xf>
    <xf numFmtId="0" fontId="61" fillId="0" borderId="0" xfId="0" applyFont="1" applyAlignment="1">
      <alignment/>
    </xf>
    <xf numFmtId="0" fontId="62" fillId="34" borderId="14" xfId="0" applyFont="1" applyFill="1" applyBorder="1" applyAlignment="1">
      <alignment/>
    </xf>
    <xf numFmtId="0" fontId="40" fillId="0" borderId="0" xfId="0" applyFont="1" applyAlignment="1">
      <alignment/>
    </xf>
    <xf numFmtId="4" fontId="4" fillId="33" borderId="0" xfId="73" applyNumberFormat="1" applyFont="1" applyFill="1" applyBorder="1" applyAlignment="1">
      <alignment vertical="center" wrapText="1" readingOrder="1"/>
      <protection/>
    </xf>
    <xf numFmtId="0" fontId="0" fillId="0" borderId="0" xfId="0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/>
    </xf>
    <xf numFmtId="0" fontId="4" fillId="33" borderId="18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justify" wrapText="1"/>
    </xf>
    <xf numFmtId="0" fontId="5" fillId="0" borderId="19" xfId="0" applyFont="1" applyFill="1" applyBorder="1" applyAlignment="1">
      <alignment horizontal="center" vertical="justify" wrapText="1"/>
    </xf>
    <xf numFmtId="0" fontId="63" fillId="33" borderId="20" xfId="0" applyFont="1" applyFill="1" applyBorder="1" applyAlignment="1">
      <alignment vertical="center" wrapText="1"/>
    </xf>
    <xf numFmtId="4" fontId="4" fillId="33" borderId="0" xfId="73" applyNumberFormat="1" applyFont="1" applyFill="1" applyBorder="1">
      <alignment/>
      <protection/>
    </xf>
    <xf numFmtId="0" fontId="4" fillId="33" borderId="0" xfId="0" applyFont="1" applyFill="1" applyBorder="1" applyAlignment="1">
      <alignment horizontal="justify" vertical="center" wrapText="1"/>
    </xf>
    <xf numFmtId="4" fontId="5" fillId="0" borderId="14" xfId="0" applyNumberFormat="1" applyFont="1" applyFill="1" applyBorder="1" applyAlignment="1">
      <alignment horizontal="center" vertical="center"/>
    </xf>
    <xf numFmtId="49" fontId="62" fillId="33" borderId="21" xfId="88" applyNumberFormat="1" applyFont="1" applyFill="1" applyBorder="1" applyAlignment="1">
      <alignment vertical="center" wrapText="1"/>
      <protection/>
    </xf>
    <xf numFmtId="49" fontId="62" fillId="33" borderId="11" xfId="73" applyNumberFormat="1" applyFont="1" applyFill="1" applyBorder="1">
      <alignment/>
      <protection/>
    </xf>
    <xf numFmtId="49" fontId="62" fillId="33" borderId="13" xfId="73" applyNumberFormat="1" applyFont="1" applyFill="1" applyBorder="1">
      <alignment/>
      <protection/>
    </xf>
    <xf numFmtId="4" fontId="64" fillId="33" borderId="0" xfId="89" applyNumberFormat="1" applyFont="1" applyFill="1" applyBorder="1" applyAlignment="1">
      <alignment horizontal="left"/>
      <protection/>
    </xf>
    <xf numFmtId="0" fontId="4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 wrapText="1"/>
    </xf>
    <xf numFmtId="0" fontId="65" fillId="35" borderId="22" xfId="0" applyFont="1" applyFill="1" applyBorder="1" applyAlignment="1">
      <alignment horizontal="center" vertical="center" wrapText="1"/>
    </xf>
    <xf numFmtId="0" fontId="63" fillId="33" borderId="19" xfId="0" applyFont="1" applyFill="1" applyBorder="1" applyAlignment="1">
      <alignment vertical="center" wrapText="1"/>
    </xf>
    <xf numFmtId="4" fontId="5" fillId="0" borderId="20" xfId="0" applyNumberFormat="1" applyFont="1" applyFill="1" applyBorder="1" applyAlignment="1">
      <alignment horizontal="center" vertical="center"/>
    </xf>
    <xf numFmtId="0" fontId="65" fillId="35" borderId="2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/>
    </xf>
    <xf numFmtId="0" fontId="62" fillId="34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65" fillId="33" borderId="20" xfId="0" applyFont="1" applyFill="1" applyBorder="1" applyAlignment="1">
      <alignment horizontal="left" vertical="center" wrapText="1"/>
    </xf>
    <xf numFmtId="0" fontId="62" fillId="33" borderId="14" xfId="0" applyFont="1" applyFill="1" applyBorder="1" applyAlignment="1">
      <alignment horizontal="center"/>
    </xf>
    <xf numFmtId="0" fontId="65" fillId="35" borderId="20" xfId="0" applyFont="1" applyFill="1" applyBorder="1" applyAlignment="1">
      <alignment horizontal="left" vertical="center" wrapText="1"/>
    </xf>
    <xf numFmtId="0" fontId="16" fillId="0" borderId="0" xfId="85" applyFont="1">
      <alignment/>
      <protection/>
    </xf>
    <xf numFmtId="0" fontId="8" fillId="0" borderId="20" xfId="85" applyFont="1" applyBorder="1" applyAlignment="1">
      <alignment horizontal="center"/>
      <protection/>
    </xf>
    <xf numFmtId="0" fontId="16" fillId="0" borderId="0" xfId="85" applyFont="1" applyBorder="1">
      <alignment/>
      <protection/>
    </xf>
    <xf numFmtId="0" fontId="6" fillId="0" borderId="0" xfId="85" applyBorder="1">
      <alignment/>
      <protection/>
    </xf>
    <xf numFmtId="0" fontId="8" fillId="0" borderId="14" xfId="85" applyFont="1" applyBorder="1" applyAlignment="1">
      <alignment horizontal="center"/>
      <protection/>
    </xf>
    <xf numFmtId="0" fontId="8" fillId="0" borderId="15" xfId="85" applyFont="1" applyBorder="1" applyAlignment="1">
      <alignment horizontal="center"/>
      <protection/>
    </xf>
    <xf numFmtId="0" fontId="7" fillId="34" borderId="23" xfId="86" applyFont="1" applyFill="1" applyBorder="1" applyAlignment="1">
      <alignment vertical="top"/>
      <protection/>
    </xf>
    <xf numFmtId="39" fontId="16" fillId="34" borderId="23" xfId="85" applyNumberFormat="1" applyFont="1" applyFill="1" applyBorder="1" applyAlignment="1">
      <alignment/>
      <protection/>
    </xf>
    <xf numFmtId="0" fontId="7" fillId="0" borderId="20" xfId="88" applyFont="1" applyFill="1" applyBorder="1" applyAlignment="1">
      <alignment vertical="top"/>
      <protection/>
    </xf>
    <xf numFmtId="0" fontId="16" fillId="0" borderId="20" xfId="88" applyFont="1" applyFill="1" applyBorder="1" applyAlignment="1">
      <alignment horizontal="left" vertical="top"/>
      <protection/>
    </xf>
    <xf numFmtId="10" fontId="16" fillId="0" borderId="20" xfId="97" applyNumberFormat="1" applyFont="1" applyFill="1" applyBorder="1" applyAlignment="1">
      <alignment/>
    </xf>
    <xf numFmtId="4" fontId="16" fillId="0" borderId="20" xfId="85" applyNumberFormat="1" applyFont="1" applyFill="1" applyBorder="1" applyAlignment="1">
      <alignment/>
      <protection/>
    </xf>
    <xf numFmtId="10" fontId="16" fillId="34" borderId="20" xfId="97" applyNumberFormat="1" applyFont="1" applyFill="1" applyBorder="1" applyAlignment="1">
      <alignment/>
    </xf>
    <xf numFmtId="4" fontId="16" fillId="34" borderId="20" xfId="85" applyNumberFormat="1" applyFont="1" applyFill="1" applyBorder="1" applyAlignment="1">
      <alignment/>
      <protection/>
    </xf>
    <xf numFmtId="4" fontId="7" fillId="0" borderId="20" xfId="70" applyNumberFormat="1" applyFont="1" applyFill="1" applyBorder="1" applyAlignment="1">
      <alignment horizontal="right"/>
      <protection/>
    </xf>
    <xf numFmtId="39" fontId="16" fillId="0" borderId="0" xfId="85" applyNumberFormat="1" applyFont="1">
      <alignment/>
      <protection/>
    </xf>
    <xf numFmtId="4" fontId="16" fillId="0" borderId="0" xfId="85" applyNumberFormat="1" applyFont="1">
      <alignment/>
      <protection/>
    </xf>
    <xf numFmtId="0" fontId="16" fillId="0" borderId="20" xfId="88" applyFont="1" applyFill="1" applyBorder="1" applyAlignment="1">
      <alignment horizontal="justify" vertical="justify" wrapText="1"/>
      <protection/>
    </xf>
    <xf numFmtId="4" fontId="17" fillId="0" borderId="0" xfId="85" applyNumberFormat="1" applyFont="1">
      <alignment/>
      <protection/>
    </xf>
    <xf numFmtId="0" fontId="18" fillId="34" borderId="20" xfId="88" applyFont="1" applyFill="1" applyBorder="1" applyAlignment="1">
      <alignment vertical="top"/>
      <protection/>
    </xf>
    <xf numFmtId="0" fontId="18" fillId="34" borderId="20" xfId="88" applyFont="1" applyFill="1" applyBorder="1" applyAlignment="1">
      <alignment horizontal="left" vertical="top"/>
      <protection/>
    </xf>
    <xf numFmtId="10" fontId="19" fillId="34" borderId="20" xfId="97" applyNumberFormat="1" applyFont="1" applyFill="1" applyBorder="1" applyAlignment="1" quotePrefix="1">
      <alignment/>
    </xf>
    <xf numFmtId="39" fontId="19" fillId="34" borderId="20" xfId="85" applyNumberFormat="1" applyFont="1" applyFill="1" applyBorder="1" applyAlignment="1">
      <alignment/>
      <protection/>
    </xf>
    <xf numFmtId="4" fontId="7" fillId="0" borderId="20" xfId="70" applyNumberFormat="1" applyFont="1" applyBorder="1">
      <alignment/>
      <protection/>
    </xf>
    <xf numFmtId="4" fontId="16" fillId="36" borderId="14" xfId="70" applyNumberFormat="1" applyFont="1" applyFill="1" applyBorder="1">
      <alignment/>
      <protection/>
    </xf>
    <xf numFmtId="0" fontId="16" fillId="36" borderId="24" xfId="70" applyFont="1" applyFill="1" applyBorder="1">
      <alignment/>
      <protection/>
    </xf>
    <xf numFmtId="179" fontId="16" fillId="0" borderId="0" xfId="85" applyNumberFormat="1" applyFont="1">
      <alignment/>
      <protection/>
    </xf>
    <xf numFmtId="172" fontId="7" fillId="36" borderId="24" xfId="97" applyNumberFormat="1" applyFont="1" applyFill="1" applyBorder="1" applyAlignment="1">
      <alignment horizontal="center"/>
    </xf>
    <xf numFmtId="10" fontId="16" fillId="0" borderId="0" xfId="85" applyNumberFormat="1" applyFont="1">
      <alignment/>
      <protection/>
    </xf>
    <xf numFmtId="0" fontId="16" fillId="36" borderId="19" xfId="85" applyFont="1" applyFill="1" applyBorder="1">
      <alignment/>
      <protection/>
    </xf>
    <xf numFmtId="0" fontId="6" fillId="0" borderId="0" xfId="85" applyFont="1">
      <alignment/>
      <protection/>
    </xf>
    <xf numFmtId="4" fontId="20" fillId="0" borderId="0" xfId="85" applyNumberFormat="1" applyFont="1">
      <alignment/>
      <protection/>
    </xf>
    <xf numFmtId="10" fontId="16" fillId="33" borderId="20" xfId="97" applyNumberFormat="1" applyFont="1" applyFill="1" applyBorder="1" applyAlignment="1">
      <alignment/>
    </xf>
    <xf numFmtId="0" fontId="66" fillId="33" borderId="0" xfId="0" applyFont="1" applyFill="1" applyBorder="1" applyAlignment="1">
      <alignment horizontal="left" vertical="center" wrapText="1"/>
    </xf>
    <xf numFmtId="0" fontId="5" fillId="37" borderId="2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justify" vertical="center" wrapText="1"/>
    </xf>
    <xf numFmtId="43" fontId="4" fillId="33" borderId="12" xfId="118" applyFont="1" applyFill="1" applyBorder="1" applyAlignment="1">
      <alignment horizontal="center" vertical="center"/>
    </xf>
    <xf numFmtId="194" fontId="4" fillId="33" borderId="12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43" fontId="4" fillId="33" borderId="0" xfId="118" applyFont="1" applyFill="1" applyBorder="1" applyAlignment="1">
      <alignment horizontal="center" vertical="center"/>
    </xf>
    <xf numFmtId="194" fontId="4" fillId="33" borderId="0" xfId="0" applyNumberFormat="1" applyFont="1" applyFill="1" applyBorder="1" applyAlignment="1">
      <alignment horizontal="center" vertical="center"/>
    </xf>
    <xf numFmtId="194" fontId="4" fillId="33" borderId="15" xfId="0" applyNumberFormat="1" applyFont="1" applyFill="1" applyBorder="1" applyAlignment="1">
      <alignment horizontal="center" vertical="center"/>
    </xf>
    <xf numFmtId="194" fontId="4" fillId="33" borderId="16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justify" vertical="center" wrapText="1"/>
    </xf>
    <xf numFmtId="43" fontId="4" fillId="33" borderId="25" xfId="118" applyFont="1" applyFill="1" applyBorder="1" applyAlignment="1">
      <alignment horizontal="center" vertical="center"/>
    </xf>
    <xf numFmtId="194" fontId="4" fillId="33" borderId="25" xfId="0" applyNumberFormat="1" applyFont="1" applyFill="1" applyBorder="1" applyAlignment="1">
      <alignment horizontal="center" vertical="center"/>
    </xf>
    <xf numFmtId="194" fontId="4" fillId="33" borderId="17" xfId="0" applyNumberFormat="1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center" vertical="center"/>
    </xf>
    <xf numFmtId="0" fontId="5" fillId="37" borderId="19" xfId="0" applyFont="1" applyFill="1" applyBorder="1" applyAlignment="1">
      <alignment horizontal="left" vertical="center" wrapText="1"/>
    </xf>
    <xf numFmtId="2" fontId="5" fillId="37" borderId="19" xfId="0" applyNumberFormat="1" applyFont="1" applyFill="1" applyBorder="1" applyAlignment="1">
      <alignment horizontal="center" vertical="center"/>
    </xf>
    <xf numFmtId="194" fontId="5" fillId="37" borderId="19" xfId="0" applyNumberFormat="1" applyFont="1" applyFill="1" applyBorder="1" applyAlignment="1">
      <alignment horizontal="center" vertical="center"/>
    </xf>
    <xf numFmtId="194" fontId="5" fillId="37" borderId="20" xfId="0" applyNumberFormat="1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justify" vertical="center" wrapText="1"/>
    </xf>
    <xf numFmtId="0" fontId="5" fillId="37" borderId="20" xfId="0" applyFont="1" applyFill="1" applyBorder="1" applyAlignment="1">
      <alignment horizontal="left" wrapText="1"/>
    </xf>
    <xf numFmtId="4" fontId="5" fillId="37" borderId="20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justify" vertical="center" wrapText="1"/>
    </xf>
    <xf numFmtId="4" fontId="4" fillId="37" borderId="20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justify" vertical="center" wrapText="1"/>
    </xf>
    <xf numFmtId="4" fontId="4" fillId="34" borderId="20" xfId="0" applyNumberFormat="1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justify" vertical="center" wrapText="1"/>
    </xf>
    <xf numFmtId="0" fontId="63" fillId="33" borderId="0" xfId="0" applyFont="1" applyFill="1" applyBorder="1" applyAlignment="1">
      <alignment/>
    </xf>
    <xf numFmtId="0" fontId="62" fillId="34" borderId="20" xfId="0" applyFont="1" applyFill="1" applyBorder="1" applyAlignment="1">
      <alignment horizontal="center"/>
    </xf>
    <xf numFmtId="0" fontId="62" fillId="34" borderId="2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62" fillId="34" borderId="11" xfId="0" applyFont="1" applyFill="1" applyBorder="1" applyAlignment="1">
      <alignment horizontal="center"/>
    </xf>
    <xf numFmtId="194" fontId="5" fillId="0" borderId="20" xfId="0" applyNumberFormat="1" applyFont="1" applyBorder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justify" vertical="center" wrapText="1"/>
    </xf>
    <xf numFmtId="4" fontId="4" fillId="33" borderId="2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7" borderId="14" xfId="0" applyFont="1" applyFill="1" applyBorder="1" applyAlignment="1">
      <alignment horizontal="center" vertical="center"/>
    </xf>
    <xf numFmtId="0" fontId="5" fillId="37" borderId="14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justify" vertical="center" wrapText="1"/>
    </xf>
    <xf numFmtId="0" fontId="5" fillId="37" borderId="14" xfId="0" applyFont="1" applyFill="1" applyBorder="1" applyAlignment="1">
      <alignment horizontal="center" vertical="center"/>
    </xf>
    <xf numFmtId="4" fontId="4" fillId="37" borderId="14" xfId="0" applyNumberFormat="1" applyFont="1" applyFill="1" applyBorder="1" applyAlignment="1">
      <alignment horizontal="center" vertical="center"/>
    </xf>
    <xf numFmtId="194" fontId="5" fillId="37" borderId="14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4" fontId="4" fillId="33" borderId="25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/>
    </xf>
    <xf numFmtId="0" fontId="40" fillId="0" borderId="20" xfId="0" applyFont="1" applyBorder="1" applyAlignment="1">
      <alignment/>
    </xf>
    <xf numFmtId="0" fontId="40" fillId="0" borderId="20" xfId="0" applyFont="1" applyBorder="1" applyAlignment="1">
      <alignment horizontal="justify" vertical="justify" wrapText="1"/>
    </xf>
    <xf numFmtId="0" fontId="63" fillId="33" borderId="20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left" vertical="center" wrapText="1"/>
    </xf>
    <xf numFmtId="194" fontId="4" fillId="33" borderId="20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wrapText="1"/>
    </xf>
    <xf numFmtId="194" fontId="5" fillId="33" borderId="20" xfId="0" applyNumberFormat="1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justify" vertical="center" wrapText="1"/>
    </xf>
    <xf numFmtId="4" fontId="5" fillId="33" borderId="20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/>
    </xf>
    <xf numFmtId="4" fontId="62" fillId="33" borderId="15" xfId="88" applyNumberFormat="1" applyFont="1" applyFill="1" applyBorder="1" applyAlignment="1">
      <alignment horizontal="left"/>
      <protection/>
    </xf>
    <xf numFmtId="4" fontId="62" fillId="33" borderId="16" xfId="73" applyNumberFormat="1" applyFont="1" applyFill="1" applyBorder="1" applyAlignment="1">
      <alignment horizontal="left"/>
      <protection/>
    </xf>
    <xf numFmtId="4" fontId="64" fillId="33" borderId="16" xfId="89" applyNumberFormat="1" applyFont="1" applyFill="1" applyBorder="1" applyAlignment="1">
      <alignment horizontal="left" vertical="center"/>
      <protection/>
    </xf>
    <xf numFmtId="0" fontId="64" fillId="33" borderId="16" xfId="0" applyFont="1" applyFill="1" applyBorder="1" applyAlignment="1">
      <alignment horizontal="left" vertical="center" wrapText="1" readingOrder="1"/>
    </xf>
    <xf numFmtId="0" fontId="62" fillId="33" borderId="11" xfId="0" applyFont="1" applyFill="1" applyBorder="1" applyAlignment="1">
      <alignment horizontal="center"/>
    </xf>
    <xf numFmtId="0" fontId="62" fillId="33" borderId="14" xfId="0" applyFont="1" applyFill="1" applyBorder="1" applyAlignment="1">
      <alignment/>
    </xf>
    <xf numFmtId="0" fontId="40" fillId="33" borderId="20" xfId="0" applyFont="1" applyFill="1" applyBorder="1" applyAlignment="1">
      <alignment horizontal="center"/>
    </xf>
    <xf numFmtId="0" fontId="40" fillId="33" borderId="20" xfId="0" applyFont="1" applyFill="1" applyBorder="1" applyAlignment="1">
      <alignment/>
    </xf>
    <xf numFmtId="0" fontId="40" fillId="33" borderId="20" xfId="0" applyFont="1" applyFill="1" applyBorder="1" applyAlignment="1">
      <alignment horizontal="justify" vertical="justify" wrapText="1"/>
    </xf>
    <xf numFmtId="0" fontId="5" fillId="33" borderId="20" xfId="0" applyFont="1" applyFill="1" applyBorder="1" applyAlignment="1">
      <alignment/>
    </xf>
    <xf numFmtId="194" fontId="5" fillId="33" borderId="20" xfId="0" applyNumberFormat="1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left" vertical="center" wrapText="1"/>
    </xf>
    <xf numFmtId="2" fontId="4" fillId="33" borderId="19" xfId="0" applyNumberFormat="1" applyFont="1" applyFill="1" applyBorder="1" applyAlignment="1">
      <alignment horizontal="center" vertical="center"/>
    </xf>
    <xf numFmtId="194" fontId="4" fillId="33" borderId="19" xfId="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justify" vertical="center" wrapText="1"/>
    </xf>
    <xf numFmtId="194" fontId="4" fillId="33" borderId="14" xfId="0" applyNumberFormat="1" applyFont="1" applyFill="1" applyBorder="1" applyAlignment="1">
      <alignment horizontal="center" vertical="center"/>
    </xf>
    <xf numFmtId="0" fontId="62" fillId="34" borderId="20" xfId="0" applyFont="1" applyFill="1" applyBorder="1" applyAlignment="1">
      <alignment/>
    </xf>
    <xf numFmtId="4" fontId="7" fillId="0" borderId="0" xfId="70" applyNumberFormat="1" applyFont="1" applyFill="1" applyBorder="1" applyAlignment="1">
      <alignment horizontal="right"/>
      <protection/>
    </xf>
    <xf numFmtId="4" fontId="17" fillId="0" borderId="0" xfId="85" applyNumberFormat="1" applyFont="1" applyBorder="1">
      <alignment/>
      <protection/>
    </xf>
    <xf numFmtId="0" fontId="62" fillId="34" borderId="11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62" fillId="34" borderId="15" xfId="0" applyFont="1" applyFill="1" applyBorder="1" applyAlignment="1">
      <alignment horizontal="center"/>
    </xf>
    <xf numFmtId="4" fontId="4" fillId="33" borderId="13" xfId="89" applyNumberFormat="1" applyFont="1" applyFill="1" applyBorder="1" applyAlignment="1">
      <alignment horizontal="left" vertical="center"/>
      <protection/>
    </xf>
    <xf numFmtId="4" fontId="4" fillId="33" borderId="0" xfId="89" applyNumberFormat="1" applyFont="1" applyFill="1" applyBorder="1" applyAlignment="1">
      <alignment horizontal="left" vertical="center"/>
      <protection/>
    </xf>
    <xf numFmtId="0" fontId="4" fillId="33" borderId="13" xfId="0" applyFont="1" applyFill="1" applyBorder="1" applyAlignment="1">
      <alignment horizontal="left" vertical="center" wrapText="1" readingOrder="1"/>
    </xf>
    <xf numFmtId="0" fontId="4" fillId="33" borderId="0" xfId="0" applyFont="1" applyFill="1" applyBorder="1" applyAlignment="1">
      <alignment horizontal="left" vertical="center" wrapText="1" readingOrder="1"/>
    </xf>
    <xf numFmtId="4" fontId="4" fillId="33" borderId="13" xfId="73" applyNumberFormat="1" applyFont="1" applyFill="1" applyBorder="1" applyAlignment="1">
      <alignment horizontal="left" vertical="center" wrapText="1"/>
      <protection/>
    </xf>
    <xf numFmtId="4" fontId="4" fillId="33" borderId="0" xfId="73" applyNumberFormat="1" applyFont="1" applyFill="1" applyBorder="1" applyAlignment="1">
      <alignment horizontal="left" vertical="center" wrapText="1"/>
      <protection/>
    </xf>
    <xf numFmtId="4" fontId="4" fillId="33" borderId="16" xfId="73" applyNumberFormat="1" applyFont="1" applyFill="1" applyBorder="1" applyAlignment="1">
      <alignment horizontal="left" vertical="center" wrapText="1"/>
      <protection/>
    </xf>
    <xf numFmtId="4" fontId="4" fillId="33" borderId="13" xfId="73" applyNumberFormat="1" applyFont="1" applyFill="1" applyBorder="1" applyAlignment="1">
      <alignment horizontal="left" vertical="center"/>
      <protection/>
    </xf>
    <xf numFmtId="4" fontId="4" fillId="33" borderId="0" xfId="73" applyNumberFormat="1" applyFont="1" applyFill="1" applyBorder="1" applyAlignment="1">
      <alignment horizontal="left" vertical="center"/>
      <protection/>
    </xf>
    <xf numFmtId="4" fontId="4" fillId="33" borderId="16" xfId="73" applyNumberFormat="1" applyFont="1" applyFill="1" applyBorder="1" applyAlignment="1">
      <alignment horizontal="left" vertical="center"/>
      <protection/>
    </xf>
    <xf numFmtId="4" fontId="4" fillId="33" borderId="18" xfId="73" applyNumberFormat="1" applyFont="1" applyFill="1" applyBorder="1" applyAlignment="1">
      <alignment horizontal="left" vertical="center"/>
      <protection/>
    </xf>
    <xf numFmtId="4" fontId="4" fillId="33" borderId="25" xfId="73" applyNumberFormat="1" applyFont="1" applyFill="1" applyBorder="1" applyAlignment="1">
      <alignment horizontal="left" vertical="center"/>
      <protection/>
    </xf>
    <xf numFmtId="4" fontId="4" fillId="33" borderId="17" xfId="73" applyNumberFormat="1" applyFont="1" applyFill="1" applyBorder="1" applyAlignment="1">
      <alignment horizontal="left" vertical="center"/>
      <protection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justify" wrapText="1"/>
    </xf>
    <xf numFmtId="0" fontId="5" fillId="0" borderId="19" xfId="0" applyFont="1" applyFill="1" applyBorder="1" applyAlignment="1">
      <alignment horizontal="center" vertical="justify" wrapText="1"/>
    </xf>
    <xf numFmtId="0" fontId="5" fillId="0" borderId="1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4" fontId="5" fillId="0" borderId="20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0" fontId="62" fillId="34" borderId="26" xfId="0" applyFont="1" applyFill="1" applyBorder="1" applyAlignment="1">
      <alignment horizontal="center"/>
    </xf>
    <xf numFmtId="0" fontId="62" fillId="34" borderId="23" xfId="0" applyFont="1" applyFill="1" applyBorder="1" applyAlignment="1">
      <alignment horizontal="center"/>
    </xf>
    <xf numFmtId="0" fontId="62" fillId="34" borderId="27" xfId="0" applyFont="1" applyFill="1" applyBorder="1" applyAlignment="1">
      <alignment horizontal="center"/>
    </xf>
    <xf numFmtId="0" fontId="62" fillId="33" borderId="11" xfId="0" applyFont="1" applyFill="1" applyBorder="1" applyAlignment="1">
      <alignment horizontal="center"/>
    </xf>
    <xf numFmtId="0" fontId="62" fillId="33" borderId="12" xfId="0" applyFont="1" applyFill="1" applyBorder="1" applyAlignment="1">
      <alignment horizontal="center"/>
    </xf>
    <xf numFmtId="0" fontId="62" fillId="33" borderId="15" xfId="0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7" fillId="0" borderId="21" xfId="87" applyNumberFormat="1" applyFont="1" applyBorder="1" applyAlignment="1">
      <alignment horizontal="center"/>
      <protection/>
    </xf>
    <xf numFmtId="4" fontId="7" fillId="0" borderId="27" xfId="87" applyNumberFormat="1" applyFont="1" applyBorder="1" applyAlignment="1">
      <alignment horizontal="center"/>
      <protection/>
    </xf>
    <xf numFmtId="39" fontId="7" fillId="0" borderId="21" xfId="85" applyNumberFormat="1" applyFont="1" applyBorder="1" applyAlignment="1">
      <alignment horizontal="center"/>
      <protection/>
    </xf>
    <xf numFmtId="39" fontId="7" fillId="0" borderId="27" xfId="85" applyNumberFormat="1" applyFont="1" applyBorder="1" applyAlignment="1">
      <alignment horizontal="center"/>
      <protection/>
    </xf>
    <xf numFmtId="10" fontId="7" fillId="0" borderId="21" xfId="97" applyNumberFormat="1" applyFont="1" applyBorder="1" applyAlignment="1">
      <alignment horizontal="center"/>
    </xf>
    <xf numFmtId="10" fontId="7" fillId="0" borderId="27" xfId="97" applyNumberFormat="1" applyFont="1" applyBorder="1" applyAlignment="1">
      <alignment horizontal="center"/>
    </xf>
    <xf numFmtId="0" fontId="7" fillId="0" borderId="21" xfId="85" applyFont="1" applyBorder="1" applyAlignment="1">
      <alignment horizontal="left" vertical="top"/>
      <protection/>
    </xf>
    <xf numFmtId="0" fontId="7" fillId="0" borderId="27" xfId="85" applyFont="1" applyBorder="1" applyAlignment="1">
      <alignment horizontal="left" vertical="top"/>
      <protection/>
    </xf>
    <xf numFmtId="1" fontId="7" fillId="0" borderId="21" xfId="85" applyNumberFormat="1" applyFont="1" applyBorder="1" applyAlignment="1">
      <alignment horizontal="left" vertical="top"/>
      <protection/>
    </xf>
    <xf numFmtId="1" fontId="7" fillId="0" borderId="27" xfId="85" applyNumberFormat="1" applyFont="1" applyBorder="1" applyAlignment="1">
      <alignment horizontal="left" vertical="top"/>
      <protection/>
    </xf>
    <xf numFmtId="0" fontId="7" fillId="34" borderId="20" xfId="86" applyFont="1" applyFill="1" applyBorder="1" applyAlignment="1">
      <alignment horizontal="center" vertical="top"/>
      <protection/>
    </xf>
    <xf numFmtId="4" fontId="16" fillId="0" borderId="13" xfId="89" applyNumberFormat="1" applyFont="1" applyFill="1" applyBorder="1" applyAlignment="1">
      <alignment horizontal="center" vertical="center" wrapText="1" readingOrder="1"/>
      <protection/>
    </xf>
    <xf numFmtId="4" fontId="16" fillId="0" borderId="0" xfId="89" applyNumberFormat="1" applyFont="1" applyFill="1" applyBorder="1" applyAlignment="1">
      <alignment horizontal="center" vertical="center" wrapText="1" readingOrder="1"/>
      <protection/>
    </xf>
    <xf numFmtId="4" fontId="67" fillId="0" borderId="18" xfId="89" applyNumberFormat="1" applyFont="1" applyFill="1" applyBorder="1" applyAlignment="1">
      <alignment horizontal="center" vertical="center" wrapText="1"/>
      <protection/>
    </xf>
    <xf numFmtId="4" fontId="67" fillId="0" borderId="25" xfId="89" applyNumberFormat="1" applyFont="1" applyFill="1" applyBorder="1" applyAlignment="1">
      <alignment horizontal="center" vertical="center" wrapText="1"/>
      <protection/>
    </xf>
    <xf numFmtId="4" fontId="67" fillId="0" borderId="21" xfId="89" applyNumberFormat="1" applyFont="1" applyFill="1" applyBorder="1" applyAlignment="1">
      <alignment horizontal="center" vertical="center" wrapText="1"/>
      <protection/>
    </xf>
    <xf numFmtId="4" fontId="67" fillId="0" borderId="23" xfId="89" applyNumberFormat="1" applyFont="1" applyFill="1" applyBorder="1" applyAlignment="1">
      <alignment horizontal="center" vertical="center" wrapText="1"/>
      <protection/>
    </xf>
    <xf numFmtId="0" fontId="8" fillId="0" borderId="14" xfId="85" applyFont="1" applyBorder="1" applyAlignment="1">
      <alignment horizontal="center" wrapText="1"/>
      <protection/>
    </xf>
    <xf numFmtId="0" fontId="8" fillId="0" borderId="24" xfId="85" applyFont="1" applyBorder="1" applyAlignment="1">
      <alignment horizontal="center" wrapText="1"/>
      <protection/>
    </xf>
    <xf numFmtId="0" fontId="8" fillId="0" borderId="19" xfId="85" applyFont="1" applyBorder="1" applyAlignment="1">
      <alignment horizontal="center" wrapText="1"/>
      <protection/>
    </xf>
    <xf numFmtId="0" fontId="8" fillId="0" borderId="21" xfId="85" applyFont="1" applyBorder="1" applyAlignment="1">
      <alignment horizontal="center"/>
      <protection/>
    </xf>
    <xf numFmtId="0" fontId="8" fillId="0" borderId="23" xfId="85" applyFont="1" applyBorder="1" applyAlignment="1">
      <alignment horizontal="center"/>
      <protection/>
    </xf>
    <xf numFmtId="0" fontId="8" fillId="0" borderId="27" xfId="85" applyFont="1" applyBorder="1" applyAlignment="1">
      <alignment horizontal="center"/>
      <protection/>
    </xf>
    <xf numFmtId="0" fontId="7" fillId="0" borderId="21" xfId="89" applyFont="1" applyFill="1" applyBorder="1" applyAlignment="1">
      <alignment horizontal="center" vertical="center" wrapText="1"/>
      <protection/>
    </xf>
    <xf numFmtId="0" fontId="7" fillId="0" borderId="23" xfId="89" applyFont="1" applyFill="1" applyBorder="1" applyAlignment="1">
      <alignment horizontal="center" vertical="center" wrapText="1"/>
      <protection/>
    </xf>
    <xf numFmtId="0" fontId="7" fillId="0" borderId="27" xfId="89" applyFont="1" applyFill="1" applyBorder="1" applyAlignment="1">
      <alignment horizontal="center" vertical="center" wrapText="1"/>
      <protection/>
    </xf>
    <xf numFmtId="44" fontId="7" fillId="0" borderId="11" xfId="73" applyNumberFormat="1" applyFont="1" applyBorder="1" applyAlignment="1">
      <alignment horizontal="center" vertical="center" wrapText="1" readingOrder="1"/>
      <protection/>
    </xf>
    <xf numFmtId="44" fontId="7" fillId="0" borderId="12" xfId="73" applyNumberFormat="1" applyFont="1" applyBorder="1" applyAlignment="1">
      <alignment horizontal="center" vertical="center" wrapText="1" readingOrder="1"/>
      <protection/>
    </xf>
    <xf numFmtId="44" fontId="7" fillId="0" borderId="13" xfId="73" applyNumberFormat="1" applyFont="1" applyBorder="1" applyAlignment="1">
      <alignment horizontal="center" vertical="center" wrapText="1" readingOrder="1"/>
      <protection/>
    </xf>
    <xf numFmtId="44" fontId="7" fillId="0" borderId="0" xfId="73" applyNumberFormat="1" applyFont="1" applyBorder="1" applyAlignment="1">
      <alignment horizontal="center" vertical="center" wrapText="1" readingOrder="1"/>
      <protection/>
    </xf>
    <xf numFmtId="4" fontId="16" fillId="33" borderId="13" xfId="73" applyNumberFormat="1" applyFont="1" applyFill="1" applyBorder="1" applyAlignment="1">
      <alignment horizontal="center" vertical="center" wrapText="1" readingOrder="1"/>
      <protection/>
    </xf>
    <xf numFmtId="4" fontId="16" fillId="33" borderId="0" xfId="73" applyNumberFormat="1" applyFont="1" applyFill="1" applyBorder="1" applyAlignment="1">
      <alignment horizontal="center" vertical="center" wrapText="1" readingOrder="1"/>
      <protection/>
    </xf>
    <xf numFmtId="0" fontId="16" fillId="33" borderId="13" xfId="89" applyFont="1" applyFill="1" applyBorder="1" applyAlignment="1">
      <alignment horizontal="center" readingOrder="1"/>
      <protection/>
    </xf>
    <xf numFmtId="0" fontId="16" fillId="33" borderId="0" xfId="89" applyFont="1" applyFill="1" applyBorder="1" applyAlignment="1">
      <alignment horizontal="center" readingOrder="1"/>
      <protection/>
    </xf>
    <xf numFmtId="4" fontId="16" fillId="0" borderId="13" xfId="73" applyNumberFormat="1" applyFont="1" applyFill="1" applyBorder="1" applyAlignment="1">
      <alignment horizontal="center" vertical="center" wrapText="1" readingOrder="1"/>
      <protection/>
    </xf>
    <xf numFmtId="4" fontId="16" fillId="0" borderId="0" xfId="73" applyNumberFormat="1" applyFont="1" applyFill="1" applyBorder="1" applyAlignment="1">
      <alignment horizontal="center" vertical="center" wrapText="1" readingOrder="1"/>
      <protection/>
    </xf>
  </cellXfs>
  <cellStyles count="108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Bom" xfId="45"/>
    <cellStyle name="Cálculo" xfId="46"/>
    <cellStyle name="Célula de Verificação" xfId="47"/>
    <cellStyle name="Célula Vinculada" xfId="48"/>
    <cellStyle name="Data" xfId="49"/>
    <cellStyle name="Ênfase1" xfId="50"/>
    <cellStyle name="Ênfase2" xfId="51"/>
    <cellStyle name="Ênfase3" xfId="52"/>
    <cellStyle name="Ênfase4" xfId="53"/>
    <cellStyle name="Ênfase5" xfId="54"/>
    <cellStyle name="Ênfase6" xfId="55"/>
    <cellStyle name="Entrada" xfId="56"/>
    <cellStyle name="Euro" xfId="57"/>
    <cellStyle name="Euro 2" xfId="58"/>
    <cellStyle name="Euro 2 2" xfId="59"/>
    <cellStyle name="Fixo" xfId="60"/>
    <cellStyle name="Hyperlink" xfId="61"/>
    <cellStyle name="Followed Hyperlink" xfId="62"/>
    <cellStyle name="Currency" xfId="63"/>
    <cellStyle name="Currency [0]" xfId="64"/>
    <cellStyle name="Moeda 2" xfId="65"/>
    <cellStyle name="Moeda 3" xfId="66"/>
    <cellStyle name="Neutro" xfId="67"/>
    <cellStyle name="Normal 10" xfId="68"/>
    <cellStyle name="Normal 11" xfId="69"/>
    <cellStyle name="Normal 2" xfId="70"/>
    <cellStyle name="Normal 2 2" xfId="71"/>
    <cellStyle name="Normal 2 2 2" xfId="72"/>
    <cellStyle name="Normal 2 3" xfId="73"/>
    <cellStyle name="Normal 3" xfId="74"/>
    <cellStyle name="Normal 3 2" xfId="75"/>
    <cellStyle name="Normal 4" xfId="76"/>
    <cellStyle name="Normal 5" xfId="77"/>
    <cellStyle name="Normal 5 2" xfId="78"/>
    <cellStyle name="Normal 6" xfId="79"/>
    <cellStyle name="Normal 7" xfId="80"/>
    <cellStyle name="Normal 8" xfId="81"/>
    <cellStyle name="Normal 8 2" xfId="82"/>
    <cellStyle name="Normal 9" xfId="83"/>
    <cellStyle name="Normal 9 2" xfId="84"/>
    <cellStyle name="Normal_CRONOGRAMA" xfId="85"/>
    <cellStyle name="Normal_CRUZEI~1" xfId="86"/>
    <cellStyle name="Normal_Orçamento nº057-2003- Esc. Munic. AMPARO revisão" xfId="87"/>
    <cellStyle name="Normal_P_Getulio Vargas" xfId="88"/>
    <cellStyle name="Normal_P_Getulio Vargas 2" xfId="89"/>
    <cellStyle name="Nota" xfId="90"/>
    <cellStyle name="Nota 2" xfId="91"/>
    <cellStyle name="Nota 3" xfId="92"/>
    <cellStyle name="Nota 4" xfId="93"/>
    <cellStyle name="Percentual" xfId="94"/>
    <cellStyle name="Ponto" xfId="95"/>
    <cellStyle name="Percent" xfId="96"/>
    <cellStyle name="Porcentagem 2" xfId="97"/>
    <cellStyle name="Porcentagem 3" xfId="98"/>
    <cellStyle name="Ruim" xfId="99"/>
    <cellStyle name="Saída" xfId="100"/>
    <cellStyle name="Comma [0]" xfId="101"/>
    <cellStyle name="Separador de milhares 15" xfId="102"/>
    <cellStyle name="Separador de milhares 2" xfId="103"/>
    <cellStyle name="TableStyleLight1" xfId="104"/>
    <cellStyle name="Texto de Aviso" xfId="105"/>
    <cellStyle name="Texto Explicativo" xfId="106"/>
    <cellStyle name="Título" xfId="107"/>
    <cellStyle name="Título 1" xfId="108"/>
    <cellStyle name="Título 1 1" xfId="109"/>
    <cellStyle name="Título 1 1 1" xfId="110"/>
    <cellStyle name="Título 1 1_PLAN   (2)" xfId="111"/>
    <cellStyle name="Título 2" xfId="112"/>
    <cellStyle name="Título 3" xfId="113"/>
    <cellStyle name="Título 4" xfId="114"/>
    <cellStyle name="Titulo1" xfId="115"/>
    <cellStyle name="Titulo2" xfId="116"/>
    <cellStyle name="Total" xfId="117"/>
    <cellStyle name="Comma" xfId="118"/>
    <cellStyle name="Vírgula 2" xfId="119"/>
    <cellStyle name="Vírgula 2 2" xfId="120"/>
    <cellStyle name="Vírgula 3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847725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33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142875</xdr:rowOff>
    </xdr:from>
    <xdr:to>
      <xdr:col>1</xdr:col>
      <xdr:colOff>847725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2875"/>
          <a:ext cx="13335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200025</xdr:rowOff>
    </xdr:from>
    <xdr:to>
      <xdr:col>6</xdr:col>
      <xdr:colOff>1762125</xdr:colOff>
      <xdr:row>5</xdr:row>
      <xdr:rowOff>428625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53900" y="200025"/>
          <a:ext cx="176212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ocuments\Meus%20Documentos\PLANEJAMENTO%20PMBM%202019\ATUALIZA&#199;&#195;O%202019%20-%20REVIS&#195;O%20QUADRA%20AYMOR&#201;\Rev130219-Or&#231;amento%20%20n&#186;015-18_Execu&#231;&#227;o%20de%20Quadra%20esportiva_%20Aymor&#233;%20-%20CE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fredo.cunha\Desktop\Revis&#227;o%20JAN-18_Or&#231;amento%20ATI%20Vila%20Br&#237;gida%20xls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rnanda\Downloads\REVIS&#195;O%20FINAL%20MEZANIN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lfredo.cunha\Documents\Meus%20Documentos\PLANEJAMENTO%20PMBM%202019\ATUALIZA&#199;&#195;O%202019%20-%20REVIS&#195;O%20QUADRA%20AYMOR&#201;\Rev130219-Or&#231;amento%20%20n&#186;015-18_Execu&#231;&#227;o%20de%20Quadra%20esportiva_%20Aymor&#233;%20-%20CE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lfredo.cunha\Documents\Meus%20Documentos\ALFREDO\QUADRA%20PARQUE%20INDEPEND&#202;NCIA\Or&#231;amento%20n&#186;0xx-2014_%20Constru&#231;&#227;o%20de%20Quadra%20Poliesportiva%20Coberta%20Parque%20Independ&#234;nci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lfredo.cunha\Desktop\Revis&#227;o%20JAN-18_Or&#231;amento%20ATI%20Vila%20Br&#237;gida%20xls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DE MERCADO"/>
      <sheetName val="MEMORIA  Quant"/>
      <sheetName val="COMPOS. ANALÍTICA"/>
      <sheetName val="SINAPI"/>
      <sheetName val="CRONOG"/>
      <sheetName val="BDI"/>
      <sheetName val="EVENTOGRAMA - R$"/>
      <sheetName val="EVENTOGRAMA - MET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I - Construção de Edifícios"/>
      <sheetName val="MEMORIA  Quant"/>
      <sheetName val="Compos. Analítica"/>
      <sheetName val="SINAPI"/>
      <sheetName val="Cronogram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MÓRIA DESONERADA"/>
      <sheetName val="PLANILHA TOTAL"/>
      <sheetName val="Cronograma  MEZANIN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TAÇÕES DE MERCADO"/>
      <sheetName val="MEMORIA  Quant"/>
      <sheetName val="COMPOS. ANALÍTICA"/>
      <sheetName val="SINAPI"/>
      <sheetName val="CRONOG"/>
      <sheetName val="BDI"/>
      <sheetName val="EVENTOGRAMA - R$"/>
      <sheetName val="EVENTOGRAMA - MET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MÓRIA"/>
      <sheetName val="EMOP"/>
      <sheetName val="SUSESP"/>
      <sheetName val="SUSESP SP"/>
      <sheetName val="Cronograma "/>
      <sheetName val="Cronograma  sp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DI - Construção de Edifícios"/>
      <sheetName val="MEMORIA  Quant"/>
      <sheetName val="Compos. Analítica"/>
      <sheetName val="SINAPI"/>
      <sheetName val="Cronogram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25"/>
  <sheetViews>
    <sheetView tabSelected="1" view="pageBreakPreview" zoomScale="71" zoomScaleSheetLayoutView="71" zoomScalePageLayoutView="0" workbookViewId="0" topLeftCell="A109">
      <selection activeCell="C115" sqref="C115"/>
    </sheetView>
  </sheetViews>
  <sheetFormatPr defaultColWidth="9.140625" defaultRowHeight="15"/>
  <cols>
    <col min="1" max="1" width="9.140625" style="23" customWidth="1"/>
    <col min="2" max="2" width="23.7109375" style="47" customWidth="1"/>
    <col min="3" max="3" width="104.00390625" style="1" customWidth="1"/>
    <col min="4" max="4" width="11.140625" style="47" customWidth="1"/>
    <col min="5" max="5" width="11.7109375" style="47" customWidth="1"/>
    <col min="6" max="6" width="17.57421875" style="47" bestFit="1" customWidth="1"/>
    <col min="7" max="7" width="17.57421875" style="47" customWidth="1"/>
    <col min="8" max="8" width="16.8515625" style="47" customWidth="1"/>
    <col min="9" max="9" width="18.00390625" style="47" customWidth="1"/>
    <col min="10" max="99" width="9.140625" style="26" customWidth="1"/>
    <col min="100" max="16384" width="9.140625" style="47" customWidth="1"/>
  </cols>
  <sheetData>
    <row r="1" spans="1:9" ht="15.75">
      <c r="A1" s="2"/>
      <c r="B1" s="36"/>
      <c r="C1" s="3" t="s">
        <v>13</v>
      </c>
      <c r="D1" s="4"/>
      <c r="E1" s="5"/>
      <c r="F1" s="6"/>
      <c r="G1" s="6"/>
      <c r="H1" s="6"/>
      <c r="I1" s="160"/>
    </row>
    <row r="2" spans="1:9" ht="15.75">
      <c r="A2" s="7"/>
      <c r="B2" s="37"/>
      <c r="C2" s="8" t="s">
        <v>14</v>
      </c>
      <c r="D2" s="9"/>
      <c r="E2" s="10"/>
      <c r="F2" s="11"/>
      <c r="G2" s="11"/>
      <c r="H2" s="11"/>
      <c r="I2" s="161"/>
    </row>
    <row r="3" spans="1:9" ht="15.75">
      <c r="A3" s="7"/>
      <c r="B3" s="37"/>
      <c r="C3" s="8" t="s">
        <v>15</v>
      </c>
      <c r="D3" s="186" t="s">
        <v>153</v>
      </c>
      <c r="E3" s="187"/>
      <c r="F3" s="187"/>
      <c r="G3" s="187"/>
      <c r="H3" s="187"/>
      <c r="I3" s="162"/>
    </row>
    <row r="4" spans="1:9" ht="21.75" customHeight="1">
      <c r="A4" s="7"/>
      <c r="B4" s="37"/>
      <c r="C4" s="22" t="s">
        <v>82</v>
      </c>
      <c r="D4" s="188" t="s">
        <v>154</v>
      </c>
      <c r="E4" s="189"/>
      <c r="F4" s="189"/>
      <c r="G4" s="189"/>
      <c r="H4" s="189"/>
      <c r="I4" s="163"/>
    </row>
    <row r="5" spans="1:9" ht="15.75" customHeight="1">
      <c r="A5" s="7"/>
      <c r="B5" s="37"/>
      <c r="C5" s="22" t="s">
        <v>83</v>
      </c>
      <c r="D5" s="190" t="s">
        <v>163</v>
      </c>
      <c r="E5" s="191"/>
      <c r="F5" s="191"/>
      <c r="G5" s="191"/>
      <c r="H5" s="191"/>
      <c r="I5" s="192"/>
    </row>
    <row r="6" spans="1:9" ht="18.75" customHeight="1">
      <c r="A6" s="7"/>
      <c r="B6" s="37"/>
      <c r="C6" s="32" t="s">
        <v>151</v>
      </c>
      <c r="D6" s="193" t="s">
        <v>81</v>
      </c>
      <c r="E6" s="194"/>
      <c r="F6" s="194"/>
      <c r="G6" s="194"/>
      <c r="H6" s="194"/>
      <c r="I6" s="195"/>
    </row>
    <row r="7" spans="1:9" ht="15.75">
      <c r="A7" s="7"/>
      <c r="B7" s="37"/>
      <c r="C7" s="38"/>
      <c r="D7" s="196" t="s">
        <v>88</v>
      </c>
      <c r="E7" s="197"/>
      <c r="F7" s="197"/>
      <c r="G7" s="197"/>
      <c r="H7" s="197"/>
      <c r="I7" s="198"/>
    </row>
    <row r="8" spans="1:9" ht="15" customHeight="1">
      <c r="A8" s="35"/>
      <c r="B8" s="31"/>
      <c r="C8" s="40" t="s">
        <v>62</v>
      </c>
      <c r="D8" s="42"/>
      <c r="E8" s="42"/>
      <c r="F8" s="199" t="s">
        <v>19</v>
      </c>
      <c r="G8" s="200"/>
      <c r="H8" s="200"/>
      <c r="I8" s="200"/>
    </row>
    <row r="9" spans="1:9" ht="15.75">
      <c r="A9" s="203" t="s">
        <v>16</v>
      </c>
      <c r="B9" s="205" t="s">
        <v>17</v>
      </c>
      <c r="C9" s="29" t="s">
        <v>55</v>
      </c>
      <c r="D9" s="207" t="s">
        <v>6</v>
      </c>
      <c r="E9" s="209" t="s">
        <v>18</v>
      </c>
      <c r="F9" s="201"/>
      <c r="G9" s="202"/>
      <c r="H9" s="202"/>
      <c r="I9" s="202"/>
    </row>
    <row r="10" spans="1:9" ht="15.75">
      <c r="A10" s="204"/>
      <c r="B10" s="206"/>
      <c r="C10" s="30"/>
      <c r="D10" s="208"/>
      <c r="E10" s="210"/>
      <c r="F10" s="12" t="s">
        <v>20</v>
      </c>
      <c r="G10" s="12" t="s">
        <v>63</v>
      </c>
      <c r="H10" s="34" t="s">
        <v>3</v>
      </c>
      <c r="I10" s="43" t="s">
        <v>61</v>
      </c>
    </row>
    <row r="11" spans="1:9" ht="15.75">
      <c r="A11" s="46" t="s">
        <v>33</v>
      </c>
      <c r="B11" s="20"/>
      <c r="C11" s="41" t="s">
        <v>87</v>
      </c>
      <c r="D11" s="211"/>
      <c r="E11" s="212"/>
      <c r="F11" s="212"/>
      <c r="G11" s="212"/>
      <c r="H11" s="212"/>
      <c r="I11" s="213"/>
    </row>
    <row r="12" spans="1:9" ht="15.75">
      <c r="A12" s="46" t="s">
        <v>8</v>
      </c>
      <c r="B12" s="20"/>
      <c r="C12" s="50" t="s">
        <v>138</v>
      </c>
      <c r="D12" s="183"/>
      <c r="E12" s="184"/>
      <c r="F12" s="184"/>
      <c r="G12" s="184"/>
      <c r="H12" s="184"/>
      <c r="I12" s="185"/>
    </row>
    <row r="13" spans="1:9" ht="31.5">
      <c r="A13" s="125" t="s">
        <v>4</v>
      </c>
      <c r="B13" s="126" t="s">
        <v>57</v>
      </c>
      <c r="C13" s="50" t="s">
        <v>139</v>
      </c>
      <c r="D13" s="125" t="s">
        <v>6</v>
      </c>
      <c r="E13" s="125">
        <v>1</v>
      </c>
      <c r="F13" s="104">
        <f>TRUNC(F14,2)</f>
        <v>24.11</v>
      </c>
      <c r="G13" s="104">
        <f>TRUNC((F13*1.2247),2)</f>
        <v>29.52</v>
      </c>
      <c r="H13" s="104">
        <f>TRUNC((F13*E13),2)</f>
        <v>24.11</v>
      </c>
      <c r="I13" s="104">
        <f>TRUNC((E13*G13),2)</f>
        <v>29.52</v>
      </c>
    </row>
    <row r="14" spans="1:9" ht="30">
      <c r="A14" s="45"/>
      <c r="B14" s="124" t="s">
        <v>57</v>
      </c>
      <c r="C14" s="84" t="s">
        <v>139</v>
      </c>
      <c r="D14" s="45" t="s">
        <v>6</v>
      </c>
      <c r="E14" s="45">
        <v>1</v>
      </c>
      <c r="F14" s="45">
        <f>TRUNC(24.11024,2)</f>
        <v>24.11</v>
      </c>
      <c r="G14" s="45">
        <f>TRUNC(E14*F14,2)</f>
        <v>24.11</v>
      </c>
      <c r="H14" s="45"/>
      <c r="I14" s="45"/>
    </row>
    <row r="15" spans="1:9" ht="15.75">
      <c r="A15" s="45"/>
      <c r="B15" s="124" t="s">
        <v>45</v>
      </c>
      <c r="C15" s="84" t="s">
        <v>59</v>
      </c>
      <c r="D15" s="45" t="s">
        <v>2</v>
      </c>
      <c r="E15" s="45">
        <v>1.03</v>
      </c>
      <c r="F15" s="45">
        <v>16.55</v>
      </c>
      <c r="G15" s="45">
        <f>TRUNC(E15*F15,2)</f>
        <v>17.04</v>
      </c>
      <c r="H15" s="45"/>
      <c r="I15" s="45"/>
    </row>
    <row r="16" spans="1:9" ht="15.75">
      <c r="A16" s="45"/>
      <c r="B16" s="124" t="s">
        <v>47</v>
      </c>
      <c r="C16" s="84" t="s">
        <v>60</v>
      </c>
      <c r="D16" s="45" t="s">
        <v>2</v>
      </c>
      <c r="E16" s="45">
        <v>0.309</v>
      </c>
      <c r="F16" s="45">
        <v>22.86</v>
      </c>
      <c r="G16" s="45">
        <f>TRUNC(E16*F16,2)</f>
        <v>7.06</v>
      </c>
      <c r="H16" s="45"/>
      <c r="I16" s="45"/>
    </row>
    <row r="17" spans="1:9" ht="15.75">
      <c r="A17" s="45"/>
      <c r="B17" s="124"/>
      <c r="C17" s="84"/>
      <c r="D17" s="45"/>
      <c r="E17" s="45" t="s">
        <v>3</v>
      </c>
      <c r="F17" s="45"/>
      <c r="G17" s="45">
        <f>TRUNC(SUM(G15:G16),2)</f>
        <v>24.1</v>
      </c>
      <c r="H17" s="45"/>
      <c r="I17" s="45"/>
    </row>
    <row r="18" spans="1:99" ht="36.75" customHeight="1">
      <c r="A18" s="113" t="s">
        <v>5</v>
      </c>
      <c r="B18" s="114" t="s">
        <v>48</v>
      </c>
      <c r="C18" s="115" t="s">
        <v>137</v>
      </c>
      <c r="D18" s="113" t="s">
        <v>46</v>
      </c>
      <c r="E18" s="113">
        <f>(18*0.25)</f>
        <v>4.5</v>
      </c>
      <c r="F18" s="116">
        <f>TRUNC(F19,2)</f>
        <v>87.29</v>
      </c>
      <c r="G18" s="104">
        <f>TRUNC((F18*1.2247),2)</f>
        <v>106.9</v>
      </c>
      <c r="H18" s="104">
        <f>TRUNC((F18*E18),2)</f>
        <v>392.8</v>
      </c>
      <c r="I18" s="104">
        <f>TRUNC((E18*G18),2)</f>
        <v>481.05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</row>
    <row r="19" spans="1:99" ht="45">
      <c r="A19" s="90"/>
      <c r="B19" s="109" t="s">
        <v>48</v>
      </c>
      <c r="C19" s="33" t="s">
        <v>137</v>
      </c>
      <c r="D19" s="90" t="s">
        <v>46</v>
      </c>
      <c r="E19" s="90">
        <v>1</v>
      </c>
      <c r="F19" s="110">
        <f>G22</f>
        <v>87.29</v>
      </c>
      <c r="G19" s="110">
        <f>TRUNC(E19*F19,2)</f>
        <v>87.29</v>
      </c>
      <c r="H19" s="111"/>
      <c r="I19" s="90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</row>
    <row r="20" spans="1:99" ht="15">
      <c r="A20" s="90"/>
      <c r="B20" s="109" t="s">
        <v>45</v>
      </c>
      <c r="C20" s="33" t="s">
        <v>59</v>
      </c>
      <c r="D20" s="90" t="s">
        <v>2</v>
      </c>
      <c r="E20" s="90">
        <v>4.635</v>
      </c>
      <c r="F20" s="110">
        <f>TRUNC(16.55,2)</f>
        <v>16.55</v>
      </c>
      <c r="G20" s="110">
        <f>TRUNC(E20*F20,2)</f>
        <v>76.7</v>
      </c>
      <c r="H20" s="111"/>
      <c r="I20" s="90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</row>
    <row r="21" spans="1:99" ht="15">
      <c r="A21" s="90"/>
      <c r="B21" s="109" t="s">
        <v>47</v>
      </c>
      <c r="C21" s="33" t="s">
        <v>60</v>
      </c>
      <c r="D21" s="90" t="s">
        <v>2</v>
      </c>
      <c r="E21" s="90">
        <v>0.4635</v>
      </c>
      <c r="F21" s="110">
        <f>TRUNC(22.86,2)</f>
        <v>22.86</v>
      </c>
      <c r="G21" s="110">
        <f>TRUNC(E21*F21,2)</f>
        <v>10.59</v>
      </c>
      <c r="H21" s="111"/>
      <c r="I21" s="90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</row>
    <row r="22" spans="1:99" ht="15">
      <c r="A22" s="90"/>
      <c r="B22" s="109"/>
      <c r="C22" s="33"/>
      <c r="D22" s="90"/>
      <c r="E22" s="90" t="s">
        <v>3</v>
      </c>
      <c r="F22" s="110"/>
      <c r="G22" s="110">
        <f>TRUNC(SUM(G20:G21),2)</f>
        <v>87.29</v>
      </c>
      <c r="H22" s="111"/>
      <c r="I22" s="90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</row>
    <row r="23" spans="1:99" ht="15.75">
      <c r="A23" s="148" t="s">
        <v>33</v>
      </c>
      <c r="B23" s="149"/>
      <c r="C23" s="150"/>
      <c r="D23" s="149"/>
      <c r="E23" s="149"/>
      <c r="F23" s="159" t="s">
        <v>39</v>
      </c>
      <c r="G23" s="159"/>
      <c r="H23" s="129">
        <f>H13+H18</f>
        <v>416.91</v>
      </c>
      <c r="I23" s="129">
        <f>I13+I18</f>
        <v>510.57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</row>
    <row r="24" spans="1:9" s="19" customFormat="1" ht="15.75">
      <c r="A24" s="85" t="s">
        <v>9</v>
      </c>
      <c r="B24" s="112"/>
      <c r="C24" s="105" t="s">
        <v>131</v>
      </c>
      <c r="D24" s="85"/>
      <c r="E24" s="85"/>
      <c r="F24" s="107"/>
      <c r="G24" s="104"/>
      <c r="H24" s="104"/>
      <c r="I24" s="104"/>
    </row>
    <row r="25" spans="1:99" ht="65.25" customHeight="1">
      <c r="A25" s="117" t="s">
        <v>34</v>
      </c>
      <c r="B25" s="122" t="s">
        <v>132</v>
      </c>
      <c r="C25" s="123" t="s">
        <v>168</v>
      </c>
      <c r="D25" s="117" t="s">
        <v>0</v>
      </c>
      <c r="E25" s="117">
        <f>(0.6+1.9)</f>
        <v>2.5</v>
      </c>
      <c r="F25" s="116">
        <f>TRUNC(F26,2)</f>
        <v>115.11</v>
      </c>
      <c r="G25" s="104">
        <f>TRUNC((F25*1.2247),2)</f>
        <v>140.97</v>
      </c>
      <c r="H25" s="104">
        <f>TRUNC((F25*E25),2)</f>
        <v>287.77</v>
      </c>
      <c r="I25" s="104">
        <f>TRUNC((E25*G25),2)</f>
        <v>352.42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</row>
    <row r="26" spans="1:99" ht="60">
      <c r="A26" s="90"/>
      <c r="B26" s="109" t="s">
        <v>132</v>
      </c>
      <c r="C26" s="33" t="s">
        <v>133</v>
      </c>
      <c r="D26" s="90" t="s">
        <v>0</v>
      </c>
      <c r="E26" s="90">
        <v>1</v>
      </c>
      <c r="F26" s="110">
        <f>G31</f>
        <v>115.11</v>
      </c>
      <c r="G26" s="110">
        <f>TRUNC(E26*F26,2)</f>
        <v>115.11</v>
      </c>
      <c r="H26" s="111"/>
      <c r="I26" s="90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</row>
    <row r="27" spans="1:99" ht="15">
      <c r="A27" s="90"/>
      <c r="B27" s="109" t="s">
        <v>52</v>
      </c>
      <c r="C27" s="33" t="s">
        <v>134</v>
      </c>
      <c r="D27" s="90" t="s">
        <v>6</v>
      </c>
      <c r="E27" s="90">
        <v>51</v>
      </c>
      <c r="F27" s="110">
        <f>TRUNC(0.7,2)</f>
        <v>0.7</v>
      </c>
      <c r="G27" s="110">
        <f>TRUNC(E27*F27,2)</f>
        <v>35.7</v>
      </c>
      <c r="H27" s="111"/>
      <c r="I27" s="90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</row>
    <row r="28" spans="1:99" ht="15">
      <c r="A28" s="90"/>
      <c r="B28" s="109" t="s">
        <v>45</v>
      </c>
      <c r="C28" s="33" t="s">
        <v>59</v>
      </c>
      <c r="D28" s="90" t="s">
        <v>2</v>
      </c>
      <c r="E28" s="90">
        <v>1.0506</v>
      </c>
      <c r="F28" s="110">
        <f>TRUNC(16.55,2)</f>
        <v>16.55</v>
      </c>
      <c r="G28" s="110">
        <f>TRUNC(E28*F28,2)</f>
        <v>17.38</v>
      </c>
      <c r="H28" s="111"/>
      <c r="I28" s="90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</row>
    <row r="29" spans="1:99" ht="15">
      <c r="A29" s="90"/>
      <c r="B29" s="109" t="s">
        <v>47</v>
      </c>
      <c r="C29" s="33" t="s">
        <v>60</v>
      </c>
      <c r="D29" s="90" t="s">
        <v>2</v>
      </c>
      <c r="E29" s="90">
        <v>2.1115</v>
      </c>
      <c r="F29" s="110">
        <f>TRUNC(22.86,2)</f>
        <v>22.86</v>
      </c>
      <c r="G29" s="110">
        <f>TRUNC(E29*F29,2)</f>
        <v>48.26</v>
      </c>
      <c r="H29" s="111"/>
      <c r="I29" s="90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</row>
    <row r="30" spans="1:99" ht="15">
      <c r="A30" s="90"/>
      <c r="B30" s="109" t="s">
        <v>135</v>
      </c>
      <c r="C30" s="33" t="s">
        <v>136</v>
      </c>
      <c r="D30" s="90" t="s">
        <v>46</v>
      </c>
      <c r="E30" s="90">
        <v>0.052</v>
      </c>
      <c r="F30" s="110">
        <f>TRUNC(264.8821,2)</f>
        <v>264.88</v>
      </c>
      <c r="G30" s="110">
        <f>TRUNC(E30*F30,2)</f>
        <v>13.77</v>
      </c>
      <c r="H30" s="111"/>
      <c r="I30" s="90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</row>
    <row r="31" spans="1:99" ht="15">
      <c r="A31" s="90"/>
      <c r="B31" s="109"/>
      <c r="C31" s="33"/>
      <c r="D31" s="90"/>
      <c r="E31" s="90" t="s">
        <v>3</v>
      </c>
      <c r="F31" s="110"/>
      <c r="G31" s="110">
        <f>TRUNC(SUM(G27:G30),2)</f>
        <v>115.11</v>
      </c>
      <c r="H31" s="111"/>
      <c r="I31" s="90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</row>
    <row r="32" spans="1:99" ht="65.25" customHeight="1">
      <c r="A32" s="117" t="s">
        <v>170</v>
      </c>
      <c r="B32" s="122" t="s">
        <v>171</v>
      </c>
      <c r="C32" s="123" t="s">
        <v>172</v>
      </c>
      <c r="D32" s="117" t="s">
        <v>0</v>
      </c>
      <c r="E32" s="117">
        <v>5.16</v>
      </c>
      <c r="F32" s="116">
        <f>TRUNC(F33,2)</f>
        <v>29.91</v>
      </c>
      <c r="G32" s="104">
        <f>TRUNC((F32*1.2247),2)</f>
        <v>36.63</v>
      </c>
      <c r="H32" s="104">
        <f>TRUNC((F32*E32),2)</f>
        <v>154.33</v>
      </c>
      <c r="I32" s="104">
        <f>TRUNC((E32*G32),2)</f>
        <v>189.01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</row>
    <row r="33" spans="1:99" ht="60">
      <c r="A33" s="90"/>
      <c r="B33" s="109" t="s">
        <v>171</v>
      </c>
      <c r="C33" s="33" t="s">
        <v>172</v>
      </c>
      <c r="D33" s="90" t="s">
        <v>0</v>
      </c>
      <c r="E33" s="90">
        <v>1</v>
      </c>
      <c r="F33" s="110">
        <f>G38</f>
        <v>29.91</v>
      </c>
      <c r="G33" s="110">
        <f>TRUNC(E33*F33,2)</f>
        <v>29.91</v>
      </c>
      <c r="H33" s="111"/>
      <c r="I33" s="90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</row>
    <row r="34" spans="1:99" ht="15">
      <c r="A34" s="90"/>
      <c r="B34" s="109" t="s">
        <v>45</v>
      </c>
      <c r="C34" s="33" t="s">
        <v>59</v>
      </c>
      <c r="D34" s="90" t="s">
        <v>2</v>
      </c>
      <c r="E34" s="90">
        <v>0.41200000000000003</v>
      </c>
      <c r="F34" s="110">
        <f>TRUNC(16.55,2)</f>
        <v>16.55</v>
      </c>
      <c r="G34" s="110">
        <f>TRUNC(E34*F34,2)</f>
        <v>6.81</v>
      </c>
      <c r="H34" s="111"/>
      <c r="I34" s="90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</row>
    <row r="35" spans="1:99" ht="15">
      <c r="A35" s="90"/>
      <c r="B35" s="109" t="s">
        <v>47</v>
      </c>
      <c r="C35" s="33" t="s">
        <v>60</v>
      </c>
      <c r="D35" s="90" t="s">
        <v>2</v>
      </c>
      <c r="E35" s="90">
        <v>0.41200000000000003</v>
      </c>
      <c r="F35" s="110">
        <f>TRUNC(22.86,2)</f>
        <v>22.86</v>
      </c>
      <c r="G35" s="110">
        <f>TRUNC(E35*F35,2)</f>
        <v>9.41</v>
      </c>
      <c r="H35" s="111"/>
      <c r="I35" s="90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</row>
    <row r="36" spans="1:99" ht="15">
      <c r="A36" s="90"/>
      <c r="B36" s="109" t="s">
        <v>173</v>
      </c>
      <c r="C36" s="33" t="s">
        <v>174</v>
      </c>
      <c r="D36" s="90" t="s">
        <v>46</v>
      </c>
      <c r="E36" s="90">
        <v>0.02625</v>
      </c>
      <c r="F36" s="110">
        <f>TRUNC(299.2495,2)</f>
        <v>299.24</v>
      </c>
      <c r="G36" s="110">
        <f>TRUNC(E36*F36,2)</f>
        <v>7.85</v>
      </c>
      <c r="H36" s="111"/>
      <c r="I36" s="90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</row>
    <row r="37" spans="1:99" ht="30">
      <c r="A37" s="90"/>
      <c r="B37" s="109" t="s">
        <v>175</v>
      </c>
      <c r="C37" s="33" t="s">
        <v>176</v>
      </c>
      <c r="D37" s="90" t="s">
        <v>0</v>
      </c>
      <c r="E37" s="90">
        <v>1</v>
      </c>
      <c r="F37" s="110">
        <f>TRUNC(5.8451,2)</f>
        <v>5.84</v>
      </c>
      <c r="G37" s="110">
        <f>TRUNC(E37*F37,2)</f>
        <v>5.84</v>
      </c>
      <c r="H37" s="111"/>
      <c r="I37" s="90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</row>
    <row r="38" spans="1:99" ht="15">
      <c r="A38" s="90"/>
      <c r="B38" s="109"/>
      <c r="C38" s="33"/>
      <c r="D38" s="90"/>
      <c r="E38" s="90" t="s">
        <v>3</v>
      </c>
      <c r="F38" s="110"/>
      <c r="G38" s="110">
        <f>TRUNC(SUM(G34:G37),2)</f>
        <v>29.91</v>
      </c>
      <c r="H38" s="111"/>
      <c r="I38" s="90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</row>
    <row r="39" spans="1:99" ht="15.75">
      <c r="A39" s="148" t="s">
        <v>33</v>
      </c>
      <c r="B39" s="149"/>
      <c r="C39" s="150"/>
      <c r="D39" s="149"/>
      <c r="E39" s="149"/>
      <c r="F39" s="159" t="s">
        <v>35</v>
      </c>
      <c r="G39" s="159"/>
      <c r="H39" s="129">
        <f>H25+H32</f>
        <v>442.1</v>
      </c>
      <c r="I39" s="129">
        <f>I25+I32</f>
        <v>541.4300000000001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7"/>
      <c r="CS39" s="47"/>
      <c r="CT39" s="47"/>
      <c r="CU39" s="47"/>
    </row>
    <row r="40" spans="1:9" ht="15.75">
      <c r="A40" s="128" t="s">
        <v>10</v>
      </c>
      <c r="B40" s="20"/>
      <c r="C40" s="50" t="s">
        <v>159</v>
      </c>
      <c r="D40" s="183"/>
      <c r="E40" s="184"/>
      <c r="F40" s="184"/>
      <c r="G40" s="184"/>
      <c r="H40" s="184"/>
      <c r="I40" s="185"/>
    </row>
    <row r="41" spans="1:9" ht="53.25" customHeight="1">
      <c r="A41" s="85" t="s">
        <v>36</v>
      </c>
      <c r="B41" s="85" t="s">
        <v>76</v>
      </c>
      <c r="C41" s="105" t="s">
        <v>64</v>
      </c>
      <c r="D41" s="85" t="s">
        <v>1</v>
      </c>
      <c r="E41" s="85">
        <v>4</v>
      </c>
      <c r="F41" s="104">
        <f>TRUNC(F42,2)</f>
        <v>182.15</v>
      </c>
      <c r="G41" s="104">
        <f>TRUNC((F41*1.2247),2)</f>
        <v>223.07</v>
      </c>
      <c r="H41" s="104">
        <f>TRUNC((F41*E41),2)</f>
        <v>728.6</v>
      </c>
      <c r="I41" s="104">
        <f>TRUNC((E41*G41),2)</f>
        <v>892.28</v>
      </c>
    </row>
    <row r="42" spans="1:9" ht="60">
      <c r="A42" s="24"/>
      <c r="B42" s="86" t="s">
        <v>76</v>
      </c>
      <c r="C42" s="87" t="s">
        <v>64</v>
      </c>
      <c r="D42" s="86" t="s">
        <v>1</v>
      </c>
      <c r="E42" s="88">
        <v>1</v>
      </c>
      <c r="F42" s="89">
        <f>G53</f>
        <v>182.15</v>
      </c>
      <c r="G42" s="89">
        <f aca="true" t="shared" si="0" ref="G42:G52">TRUNC(E42*F42,2)</f>
        <v>182.15</v>
      </c>
      <c r="H42" s="89"/>
      <c r="I42" s="93"/>
    </row>
    <row r="43" spans="1:9" ht="15.75">
      <c r="A43" s="25"/>
      <c r="B43" s="90" t="s">
        <v>100</v>
      </c>
      <c r="C43" s="33" t="s">
        <v>101</v>
      </c>
      <c r="D43" s="90" t="s">
        <v>6</v>
      </c>
      <c r="E43" s="91">
        <v>0.396</v>
      </c>
      <c r="F43" s="92">
        <v>118.71</v>
      </c>
      <c r="G43" s="92">
        <f t="shared" si="0"/>
        <v>47</v>
      </c>
      <c r="H43" s="92"/>
      <c r="I43" s="94"/>
    </row>
    <row r="44" spans="1:9" ht="30">
      <c r="A44" s="25"/>
      <c r="B44" s="90" t="s">
        <v>102</v>
      </c>
      <c r="C44" s="33" t="s">
        <v>103</v>
      </c>
      <c r="D44" s="90" t="s">
        <v>6</v>
      </c>
      <c r="E44" s="91">
        <v>0.7992</v>
      </c>
      <c r="F44" s="92">
        <v>4.66</v>
      </c>
      <c r="G44" s="92">
        <f t="shared" si="0"/>
        <v>3.72</v>
      </c>
      <c r="H44" s="92"/>
      <c r="I44" s="94"/>
    </row>
    <row r="45" spans="1:9" ht="15.75">
      <c r="A45" s="25"/>
      <c r="B45" s="90" t="s">
        <v>104</v>
      </c>
      <c r="C45" s="33" t="s">
        <v>105</v>
      </c>
      <c r="D45" s="90" t="s">
        <v>6</v>
      </c>
      <c r="E45" s="91">
        <v>0.396</v>
      </c>
      <c r="F45" s="92">
        <v>194.67</v>
      </c>
      <c r="G45" s="92">
        <f t="shared" si="0"/>
        <v>77.08</v>
      </c>
      <c r="H45" s="92"/>
      <c r="I45" s="94"/>
    </row>
    <row r="46" spans="1:9" ht="15.75">
      <c r="A46" s="25"/>
      <c r="B46" s="90" t="s">
        <v>106</v>
      </c>
      <c r="C46" s="33" t="s">
        <v>107</v>
      </c>
      <c r="D46" s="90" t="s">
        <v>6</v>
      </c>
      <c r="E46" s="91">
        <v>3.192</v>
      </c>
      <c r="F46" s="92">
        <v>0.08</v>
      </c>
      <c r="G46" s="92">
        <f t="shared" si="0"/>
        <v>0.25</v>
      </c>
      <c r="H46" s="92"/>
      <c r="I46" s="94"/>
    </row>
    <row r="47" spans="1:9" ht="15.75">
      <c r="A47" s="25"/>
      <c r="B47" s="90" t="s">
        <v>108</v>
      </c>
      <c r="C47" s="33" t="s">
        <v>109</v>
      </c>
      <c r="D47" s="90" t="s">
        <v>6</v>
      </c>
      <c r="E47" s="91">
        <v>1.596</v>
      </c>
      <c r="F47" s="92">
        <v>1.55</v>
      </c>
      <c r="G47" s="92">
        <f t="shared" si="0"/>
        <v>2.47</v>
      </c>
      <c r="H47" s="92"/>
      <c r="I47" s="94"/>
    </row>
    <row r="48" spans="1:9" ht="15.75">
      <c r="A48" s="25"/>
      <c r="B48" s="90" t="s">
        <v>110</v>
      </c>
      <c r="C48" s="33" t="s">
        <v>111</v>
      </c>
      <c r="D48" s="90" t="s">
        <v>6</v>
      </c>
      <c r="E48" s="91">
        <v>0.7992</v>
      </c>
      <c r="F48" s="92">
        <v>12.76</v>
      </c>
      <c r="G48" s="92">
        <f t="shared" si="0"/>
        <v>10.19</v>
      </c>
      <c r="H48" s="92"/>
      <c r="I48" s="94"/>
    </row>
    <row r="49" spans="1:9" ht="15.75">
      <c r="A49" s="25"/>
      <c r="B49" s="90" t="s">
        <v>112</v>
      </c>
      <c r="C49" s="33" t="s">
        <v>113</v>
      </c>
      <c r="D49" s="90" t="s">
        <v>6</v>
      </c>
      <c r="E49" s="91">
        <v>3.192</v>
      </c>
      <c r="F49" s="92">
        <v>0.08</v>
      </c>
      <c r="G49" s="92">
        <f t="shared" si="0"/>
        <v>0.25</v>
      </c>
      <c r="H49" s="92"/>
      <c r="I49" s="94"/>
    </row>
    <row r="50" spans="1:9" ht="15.75">
      <c r="A50" s="25"/>
      <c r="B50" s="90" t="s">
        <v>114</v>
      </c>
      <c r="C50" s="33" t="s">
        <v>115</v>
      </c>
      <c r="D50" s="90" t="s">
        <v>6</v>
      </c>
      <c r="E50" s="91">
        <v>0.01596</v>
      </c>
      <c r="F50" s="92">
        <v>38.8</v>
      </c>
      <c r="G50" s="92">
        <f t="shared" si="0"/>
        <v>0.61</v>
      </c>
      <c r="H50" s="92"/>
      <c r="I50" s="94"/>
    </row>
    <row r="51" spans="1:9" ht="15.75">
      <c r="A51" s="25"/>
      <c r="B51" s="90" t="s">
        <v>45</v>
      </c>
      <c r="C51" s="33" t="s">
        <v>59</v>
      </c>
      <c r="D51" s="90" t="s">
        <v>2</v>
      </c>
      <c r="E51" s="91">
        <v>1.03</v>
      </c>
      <c r="F51" s="92">
        <v>16.55</v>
      </c>
      <c r="G51" s="92">
        <f t="shared" si="0"/>
        <v>17.04</v>
      </c>
      <c r="H51" s="92"/>
      <c r="I51" s="94"/>
    </row>
    <row r="52" spans="1:9" ht="15.75">
      <c r="A52" s="25"/>
      <c r="B52" s="90" t="s">
        <v>53</v>
      </c>
      <c r="C52" s="33" t="s">
        <v>65</v>
      </c>
      <c r="D52" s="90" t="s">
        <v>2</v>
      </c>
      <c r="E52" s="91">
        <v>1.03</v>
      </c>
      <c r="F52" s="92">
        <v>22.86</v>
      </c>
      <c r="G52" s="92">
        <f t="shared" si="0"/>
        <v>23.54</v>
      </c>
      <c r="H52" s="92"/>
      <c r="I52" s="94"/>
    </row>
    <row r="53" spans="1:9" ht="15.75">
      <c r="A53" s="28"/>
      <c r="B53" s="95"/>
      <c r="C53" s="96"/>
      <c r="D53" s="95"/>
      <c r="E53" s="97" t="s">
        <v>3</v>
      </c>
      <c r="F53" s="98"/>
      <c r="G53" s="98">
        <f>TRUNC(SUM(G43:G52),2)</f>
        <v>182.15</v>
      </c>
      <c r="H53" s="98"/>
      <c r="I53" s="99"/>
    </row>
    <row r="54" spans="1:9" ht="34.5" customHeight="1">
      <c r="A54" s="100" t="s">
        <v>37</v>
      </c>
      <c r="B54" s="100" t="s">
        <v>77</v>
      </c>
      <c r="C54" s="101" t="s">
        <v>68</v>
      </c>
      <c r="D54" s="100" t="s">
        <v>6</v>
      </c>
      <c r="E54" s="102">
        <v>6</v>
      </c>
      <c r="F54" s="103">
        <f>TRUNC(66.64615,2)</f>
        <v>66.64</v>
      </c>
      <c r="G54" s="103">
        <f>TRUNC((F54*1.2247),2)</f>
        <v>81.61</v>
      </c>
      <c r="H54" s="103">
        <f>TRUNC((F54*E54),2)</f>
        <v>399.84</v>
      </c>
      <c r="I54" s="103">
        <f>TRUNC((E54*G54),2)</f>
        <v>489.66</v>
      </c>
    </row>
    <row r="55" spans="1:9" ht="45">
      <c r="A55" s="25"/>
      <c r="B55" s="90" t="s">
        <v>77</v>
      </c>
      <c r="C55" s="33" t="s">
        <v>68</v>
      </c>
      <c r="D55" s="90" t="s">
        <v>6</v>
      </c>
      <c r="E55" s="91">
        <v>1</v>
      </c>
      <c r="F55" s="92">
        <f>TRUNC(66.64615,2)</f>
        <v>66.64</v>
      </c>
      <c r="G55" s="92">
        <f>TRUNC(E55*F55,2)</f>
        <v>66.64</v>
      </c>
      <c r="H55" s="92"/>
      <c r="I55" s="92"/>
    </row>
    <row r="56" spans="1:9" ht="30">
      <c r="A56" s="25"/>
      <c r="B56" s="90" t="s">
        <v>66</v>
      </c>
      <c r="C56" s="33" t="s">
        <v>67</v>
      </c>
      <c r="D56" s="90" t="s">
        <v>6</v>
      </c>
      <c r="E56" s="91">
        <v>1</v>
      </c>
      <c r="F56" s="92">
        <v>46.35</v>
      </c>
      <c r="G56" s="92">
        <f>TRUNC(E56*F56,2)</f>
        <v>46.35</v>
      </c>
      <c r="H56" s="92"/>
      <c r="I56" s="92"/>
    </row>
    <row r="57" spans="1:9" ht="15.75">
      <c r="A57" s="25"/>
      <c r="B57" s="90" t="s">
        <v>45</v>
      </c>
      <c r="C57" s="33" t="s">
        <v>59</v>
      </c>
      <c r="D57" s="90" t="s">
        <v>2</v>
      </c>
      <c r="E57" s="91">
        <v>0.515</v>
      </c>
      <c r="F57" s="92">
        <f>TRUNC(16.55,2)</f>
        <v>16.55</v>
      </c>
      <c r="G57" s="92">
        <f>TRUNC(E57*F57,2)</f>
        <v>8.52</v>
      </c>
      <c r="H57" s="92"/>
      <c r="I57" s="92"/>
    </row>
    <row r="58" spans="1:9" ht="15.75">
      <c r="A58" s="25"/>
      <c r="B58" s="90" t="s">
        <v>53</v>
      </c>
      <c r="C58" s="33" t="s">
        <v>65</v>
      </c>
      <c r="D58" s="90" t="s">
        <v>2</v>
      </c>
      <c r="E58" s="91">
        <v>0.515</v>
      </c>
      <c r="F58" s="92">
        <f>TRUNC(22.86,2)</f>
        <v>22.86</v>
      </c>
      <c r="G58" s="92">
        <f>TRUNC(E58*F58,2)</f>
        <v>11.77</v>
      </c>
      <c r="H58" s="92"/>
      <c r="I58" s="92"/>
    </row>
    <row r="59" spans="1:9" ht="15.75">
      <c r="A59" s="25"/>
      <c r="B59" s="90"/>
      <c r="C59" s="33"/>
      <c r="D59" s="90"/>
      <c r="E59" s="91" t="s">
        <v>3</v>
      </c>
      <c r="F59" s="92"/>
      <c r="G59" s="92">
        <f>TRUNC(SUM(G56:G58),2)</f>
        <v>66.64</v>
      </c>
      <c r="H59" s="92"/>
      <c r="I59" s="92"/>
    </row>
    <row r="60" spans="1:9" ht="30">
      <c r="A60" s="113" t="s">
        <v>49</v>
      </c>
      <c r="B60" s="114" t="s">
        <v>126</v>
      </c>
      <c r="C60" s="115" t="s">
        <v>127</v>
      </c>
      <c r="D60" s="113" t="s">
        <v>1</v>
      </c>
      <c r="E60" s="113">
        <v>15</v>
      </c>
      <c r="F60" s="116">
        <f>TRUNC(F61,2)</f>
        <v>9.24</v>
      </c>
      <c r="G60" s="104">
        <f>TRUNC((F60*1.2247),2)</f>
        <v>11.31</v>
      </c>
      <c r="H60" s="104">
        <f>TRUNC((F60*E60),2)</f>
        <v>138.6</v>
      </c>
      <c r="I60" s="104">
        <f>TRUNC((E60*G60),2)</f>
        <v>169.65</v>
      </c>
    </row>
    <row r="61" spans="1:9" ht="30">
      <c r="A61" s="108"/>
      <c r="B61" s="109" t="s">
        <v>126</v>
      </c>
      <c r="C61" s="33" t="s">
        <v>127</v>
      </c>
      <c r="D61" s="90" t="s">
        <v>1</v>
      </c>
      <c r="E61" s="90">
        <v>1</v>
      </c>
      <c r="F61" s="110">
        <f>G66</f>
        <v>9.24</v>
      </c>
      <c r="G61" s="110">
        <f>TRUNC(E61*F61,2)</f>
        <v>9.24</v>
      </c>
      <c r="H61" s="111"/>
      <c r="I61" s="90"/>
    </row>
    <row r="62" spans="1:9" ht="15">
      <c r="A62" s="108"/>
      <c r="B62" s="109" t="s">
        <v>128</v>
      </c>
      <c r="C62" s="33" t="s">
        <v>129</v>
      </c>
      <c r="D62" s="90" t="s">
        <v>1</v>
      </c>
      <c r="E62" s="90">
        <v>1.0481</v>
      </c>
      <c r="F62" s="110">
        <v>1.98</v>
      </c>
      <c r="G62" s="110">
        <f>TRUNC(E62*F62,2)</f>
        <v>2.07</v>
      </c>
      <c r="H62" s="111"/>
      <c r="I62" s="90"/>
    </row>
    <row r="63" spans="1:9" ht="15">
      <c r="A63" s="108"/>
      <c r="B63" s="109" t="s">
        <v>116</v>
      </c>
      <c r="C63" s="33" t="s">
        <v>69</v>
      </c>
      <c r="D63" s="90" t="s">
        <v>2</v>
      </c>
      <c r="E63" s="90">
        <v>0.0811</v>
      </c>
      <c r="F63" s="110">
        <f>TRUNC(30.08,2)</f>
        <v>30.08</v>
      </c>
      <c r="G63" s="110">
        <f>TRUNC(E63*F63,2)</f>
        <v>2.43</v>
      </c>
      <c r="H63" s="111"/>
      <c r="I63" s="90"/>
    </row>
    <row r="64" spans="1:9" ht="15">
      <c r="A64" s="108"/>
      <c r="B64" s="109" t="s">
        <v>117</v>
      </c>
      <c r="C64" s="33" t="s">
        <v>70</v>
      </c>
      <c r="D64" s="90" t="s">
        <v>2</v>
      </c>
      <c r="E64" s="90">
        <v>0.0811</v>
      </c>
      <c r="F64" s="110">
        <f>TRUNC(23.24,2)</f>
        <v>23.24</v>
      </c>
      <c r="G64" s="110">
        <f>TRUNC(E64*F64,2)</f>
        <v>1.88</v>
      </c>
      <c r="H64" s="111"/>
      <c r="I64" s="90"/>
    </row>
    <row r="65" spans="1:9" ht="45">
      <c r="A65" s="108"/>
      <c r="B65" s="109" t="s">
        <v>130</v>
      </c>
      <c r="C65" s="33" t="s">
        <v>152</v>
      </c>
      <c r="D65" s="90" t="s">
        <v>1</v>
      </c>
      <c r="E65" s="90">
        <v>2</v>
      </c>
      <c r="F65" s="110">
        <f>TRUNC(1.43269,2)</f>
        <v>1.43</v>
      </c>
      <c r="G65" s="110">
        <f>TRUNC(E65*F65,2)</f>
        <v>2.86</v>
      </c>
      <c r="H65" s="111"/>
      <c r="I65" s="90"/>
    </row>
    <row r="66" spans="1:9" ht="15">
      <c r="A66" s="108"/>
      <c r="B66" s="109"/>
      <c r="C66" s="33"/>
      <c r="D66" s="90"/>
      <c r="E66" s="90" t="s">
        <v>3</v>
      </c>
      <c r="F66" s="110"/>
      <c r="G66" s="110">
        <f>TRUNC(SUM(G62:G65),2)</f>
        <v>9.24</v>
      </c>
      <c r="H66" s="111"/>
      <c r="I66" s="90"/>
    </row>
    <row r="67" spans="1:9" ht="63">
      <c r="A67" s="85" t="s">
        <v>50</v>
      </c>
      <c r="B67" s="85" t="s">
        <v>118</v>
      </c>
      <c r="C67" s="106" t="s">
        <v>119</v>
      </c>
      <c r="D67" s="85" t="s">
        <v>1</v>
      </c>
      <c r="E67" s="85">
        <v>18</v>
      </c>
      <c r="F67" s="116">
        <f>TRUNC(F68,2)</f>
        <v>59.24</v>
      </c>
      <c r="G67" s="104">
        <f>TRUNC((F67*1.2247),2)</f>
        <v>72.55</v>
      </c>
      <c r="H67" s="104">
        <f>TRUNC((F67*E67),2)</f>
        <v>1066.32</v>
      </c>
      <c r="I67" s="104">
        <f>TRUNC((E67*G67),2)</f>
        <v>1305.9</v>
      </c>
    </row>
    <row r="68" spans="1:9" ht="60">
      <c r="A68" s="108"/>
      <c r="B68" s="109" t="s">
        <v>118</v>
      </c>
      <c r="C68" s="33" t="s">
        <v>119</v>
      </c>
      <c r="D68" s="90" t="s">
        <v>1</v>
      </c>
      <c r="E68" s="90">
        <v>1</v>
      </c>
      <c r="F68" s="110">
        <f>G73</f>
        <v>59.24</v>
      </c>
      <c r="G68" s="110">
        <f>TRUNC(E68*F68,2)</f>
        <v>59.24</v>
      </c>
      <c r="H68" s="111"/>
      <c r="I68" s="90"/>
    </row>
    <row r="69" spans="1:9" ht="15">
      <c r="A69" s="108"/>
      <c r="B69" s="109" t="s">
        <v>120</v>
      </c>
      <c r="C69" s="33" t="s">
        <v>121</v>
      </c>
      <c r="D69" s="90" t="s">
        <v>1</v>
      </c>
      <c r="E69" s="90">
        <v>1</v>
      </c>
      <c r="F69" s="110">
        <v>49.1022</v>
      </c>
      <c r="G69" s="110">
        <f>TRUNC(E69*F69,2)</f>
        <v>49.1</v>
      </c>
      <c r="H69" s="111"/>
      <c r="I69" s="90"/>
    </row>
    <row r="70" spans="1:9" ht="15">
      <c r="A70" s="108"/>
      <c r="B70" s="109" t="s">
        <v>71</v>
      </c>
      <c r="C70" s="33" t="s">
        <v>72</v>
      </c>
      <c r="D70" s="90" t="s">
        <v>6</v>
      </c>
      <c r="E70" s="90">
        <v>0.0014</v>
      </c>
      <c r="F70" s="110">
        <v>4.22</v>
      </c>
      <c r="G70" s="110">
        <f>TRUNC(E70*F70,2)</f>
        <v>0</v>
      </c>
      <c r="H70" s="111"/>
      <c r="I70" s="90"/>
    </row>
    <row r="71" spans="1:9" ht="15">
      <c r="A71" s="108"/>
      <c r="B71" s="109" t="s">
        <v>45</v>
      </c>
      <c r="C71" s="33" t="s">
        <v>59</v>
      </c>
      <c r="D71" s="90" t="s">
        <v>2</v>
      </c>
      <c r="E71" s="90">
        <v>0.2575</v>
      </c>
      <c r="F71" s="110">
        <v>16.55</v>
      </c>
      <c r="G71" s="110">
        <f>TRUNC(E71*F71,2)</f>
        <v>4.26</v>
      </c>
      <c r="H71" s="111"/>
      <c r="I71" s="90"/>
    </row>
    <row r="72" spans="1:9" ht="15">
      <c r="A72" s="108"/>
      <c r="B72" s="109" t="s">
        <v>53</v>
      </c>
      <c r="C72" s="33" t="s">
        <v>65</v>
      </c>
      <c r="D72" s="90" t="s">
        <v>2</v>
      </c>
      <c r="E72" s="90">
        <v>0.2575</v>
      </c>
      <c r="F72" s="110">
        <v>22.86</v>
      </c>
      <c r="G72" s="110">
        <f>TRUNC(E72*F72,2)</f>
        <v>5.88</v>
      </c>
      <c r="H72" s="111"/>
      <c r="I72" s="90"/>
    </row>
    <row r="73" spans="1:9" ht="15">
      <c r="A73" s="108"/>
      <c r="B73" s="109"/>
      <c r="C73" s="33"/>
      <c r="D73" s="90"/>
      <c r="E73" s="90" t="s">
        <v>3</v>
      </c>
      <c r="F73" s="110"/>
      <c r="G73" s="110">
        <f>TRUNC(SUM(G69:G72),2)</f>
        <v>59.24</v>
      </c>
      <c r="H73" s="111"/>
      <c r="I73" s="90"/>
    </row>
    <row r="74" spans="1:99" ht="63">
      <c r="A74" s="85" t="s">
        <v>51</v>
      </c>
      <c r="B74" s="85" t="s">
        <v>78</v>
      </c>
      <c r="C74" s="105" t="s">
        <v>73</v>
      </c>
      <c r="D74" s="85" t="s">
        <v>1</v>
      </c>
      <c r="E74" s="85">
        <v>280</v>
      </c>
      <c r="F74" s="116">
        <f>TRUNC(F75,2)</f>
        <v>139.91</v>
      </c>
      <c r="G74" s="104">
        <f>TRUNC((F74*1.2247),2)</f>
        <v>171.34</v>
      </c>
      <c r="H74" s="104">
        <f>TRUNC((F74*E74),2)</f>
        <v>39174.8</v>
      </c>
      <c r="I74" s="104">
        <f>TRUNC((E74*G74),2)</f>
        <v>47975.2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47"/>
      <c r="CC74" s="47"/>
      <c r="CD74" s="47"/>
      <c r="CE74" s="47"/>
      <c r="CF74" s="47"/>
      <c r="CG74" s="47"/>
      <c r="CH74" s="47"/>
      <c r="CI74" s="47"/>
      <c r="CJ74" s="47"/>
      <c r="CK74" s="47"/>
      <c r="CL74" s="47"/>
      <c r="CM74" s="47"/>
      <c r="CN74" s="47"/>
      <c r="CO74" s="47"/>
      <c r="CP74" s="47"/>
      <c r="CQ74" s="47"/>
      <c r="CR74" s="47"/>
      <c r="CS74" s="47"/>
      <c r="CT74" s="47"/>
      <c r="CU74" s="47"/>
    </row>
    <row r="75" spans="1:99" ht="60">
      <c r="A75" s="108"/>
      <c r="B75" s="109" t="s">
        <v>78</v>
      </c>
      <c r="C75" s="33" t="s">
        <v>73</v>
      </c>
      <c r="D75" s="90" t="s">
        <v>1</v>
      </c>
      <c r="E75" s="90">
        <v>1</v>
      </c>
      <c r="F75" s="110">
        <f>G80</f>
        <v>139.91</v>
      </c>
      <c r="G75" s="110">
        <f>TRUNC(E75*F75,2)</f>
        <v>139.91</v>
      </c>
      <c r="H75" s="111"/>
      <c r="I75" s="90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47"/>
      <c r="CC75" s="47"/>
      <c r="CD75" s="47"/>
      <c r="CE75" s="47"/>
      <c r="CF75" s="47"/>
      <c r="CG75" s="47"/>
      <c r="CH75" s="47"/>
      <c r="CI75" s="47"/>
      <c r="CJ75" s="47"/>
      <c r="CK75" s="47"/>
      <c r="CL75" s="47"/>
      <c r="CM75" s="47"/>
      <c r="CN75" s="47"/>
      <c r="CO75" s="47"/>
      <c r="CP75" s="47"/>
      <c r="CQ75" s="47"/>
      <c r="CR75" s="47"/>
      <c r="CS75" s="47"/>
      <c r="CT75" s="47"/>
      <c r="CU75" s="47"/>
    </row>
    <row r="76" spans="1:99" ht="30">
      <c r="A76" s="108"/>
      <c r="B76" s="109" t="s">
        <v>79</v>
      </c>
      <c r="C76" s="33" t="s">
        <v>80</v>
      </c>
      <c r="D76" s="90" t="s">
        <v>1</v>
      </c>
      <c r="E76" s="90">
        <v>1</v>
      </c>
      <c r="F76" s="110">
        <v>121.6586</v>
      </c>
      <c r="G76" s="110">
        <f>TRUNC(E76*F76,2)</f>
        <v>121.65</v>
      </c>
      <c r="H76" s="111"/>
      <c r="I76" s="90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7"/>
      <c r="CA76" s="47"/>
      <c r="CB76" s="47"/>
      <c r="CC76" s="47"/>
      <c r="CD76" s="47"/>
      <c r="CE76" s="47"/>
      <c r="CF76" s="47"/>
      <c r="CG76" s="47"/>
      <c r="CH76" s="47"/>
      <c r="CI76" s="47"/>
      <c r="CJ76" s="47"/>
      <c r="CK76" s="47"/>
      <c r="CL76" s="47"/>
      <c r="CM76" s="47"/>
      <c r="CN76" s="47"/>
      <c r="CO76" s="47"/>
      <c r="CP76" s="47"/>
      <c r="CQ76" s="47"/>
      <c r="CR76" s="47"/>
      <c r="CS76" s="47"/>
      <c r="CT76" s="47"/>
      <c r="CU76" s="47"/>
    </row>
    <row r="77" spans="1:99" ht="15">
      <c r="A77" s="108"/>
      <c r="B77" s="109" t="s">
        <v>71</v>
      </c>
      <c r="C77" s="33" t="s">
        <v>72</v>
      </c>
      <c r="D77" s="90" t="s">
        <v>6</v>
      </c>
      <c r="E77" s="90">
        <v>0.0014</v>
      </c>
      <c r="F77" s="110">
        <v>4.22</v>
      </c>
      <c r="G77" s="110">
        <f>TRUNC(E77*F77,2)</f>
        <v>0</v>
      </c>
      <c r="H77" s="111"/>
      <c r="I77" s="90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47"/>
      <c r="CC77" s="47"/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47"/>
      <c r="CQ77" s="47"/>
      <c r="CR77" s="47"/>
      <c r="CS77" s="47"/>
      <c r="CT77" s="47"/>
      <c r="CU77" s="47"/>
    </row>
    <row r="78" spans="1:99" ht="15">
      <c r="A78" s="108"/>
      <c r="B78" s="109" t="s">
        <v>45</v>
      </c>
      <c r="C78" s="33" t="s">
        <v>59</v>
      </c>
      <c r="D78" s="90" t="s">
        <v>2</v>
      </c>
      <c r="E78" s="90">
        <v>0.4635</v>
      </c>
      <c r="F78" s="110">
        <v>16.55</v>
      </c>
      <c r="G78" s="110">
        <f>TRUNC(E78*F78,2)</f>
        <v>7.67</v>
      </c>
      <c r="H78" s="111"/>
      <c r="I78" s="90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47"/>
      <c r="CC78" s="47"/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47"/>
      <c r="CQ78" s="47"/>
      <c r="CR78" s="47"/>
      <c r="CS78" s="47"/>
      <c r="CT78" s="47"/>
      <c r="CU78" s="47"/>
    </row>
    <row r="79" spans="1:99" ht="15">
      <c r="A79" s="108"/>
      <c r="B79" s="109" t="s">
        <v>53</v>
      </c>
      <c r="C79" s="33" t="s">
        <v>65</v>
      </c>
      <c r="D79" s="90" t="s">
        <v>2</v>
      </c>
      <c r="E79" s="90">
        <v>0.4635</v>
      </c>
      <c r="F79" s="110">
        <v>22.86</v>
      </c>
      <c r="G79" s="110">
        <f>TRUNC(E79*F79,2)</f>
        <v>10.59</v>
      </c>
      <c r="H79" s="111"/>
      <c r="I79" s="90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</row>
    <row r="80" spans="1:99" ht="15">
      <c r="A80" s="108"/>
      <c r="B80" s="109"/>
      <c r="C80" s="33"/>
      <c r="D80" s="90"/>
      <c r="E80" s="90" t="s">
        <v>3</v>
      </c>
      <c r="F80" s="110"/>
      <c r="G80" s="110">
        <f>TRUNC(SUM(G76:G79),2)</f>
        <v>139.91</v>
      </c>
      <c r="H80" s="111"/>
      <c r="I80" s="90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</row>
    <row r="81" spans="1:99" ht="63">
      <c r="A81" s="113" t="s">
        <v>56</v>
      </c>
      <c r="B81" s="112" t="s">
        <v>122</v>
      </c>
      <c r="C81" s="105" t="s">
        <v>123</v>
      </c>
      <c r="D81" s="85" t="s">
        <v>1</v>
      </c>
      <c r="E81" s="85">
        <v>22</v>
      </c>
      <c r="F81" s="116">
        <f>TRUNC(F82,2)</f>
        <v>180.79</v>
      </c>
      <c r="G81" s="104">
        <f>TRUNC((F81*1.2247),2)</f>
        <v>221.41</v>
      </c>
      <c r="H81" s="104">
        <f>TRUNC((F81*E81),2)</f>
        <v>3977.38</v>
      </c>
      <c r="I81" s="104">
        <f>TRUNC((E81*G81),2)</f>
        <v>4871.02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7"/>
      <c r="CA81" s="47"/>
      <c r="CB81" s="47"/>
      <c r="CC81" s="47"/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47"/>
      <c r="CQ81" s="47"/>
      <c r="CR81" s="47"/>
      <c r="CS81" s="47"/>
      <c r="CT81" s="47"/>
      <c r="CU81" s="47"/>
    </row>
    <row r="82" spans="1:99" ht="60">
      <c r="A82" s="108"/>
      <c r="B82" s="109" t="s">
        <v>122</v>
      </c>
      <c r="C82" s="33" t="s">
        <v>123</v>
      </c>
      <c r="D82" s="90" t="s">
        <v>1</v>
      </c>
      <c r="E82" s="90">
        <v>1</v>
      </c>
      <c r="F82" s="110">
        <f>G87</f>
        <v>180.79</v>
      </c>
      <c r="G82" s="110">
        <f>TRUNC(E82*F82,2)</f>
        <v>180.79</v>
      </c>
      <c r="H82" s="111"/>
      <c r="I82" s="90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7"/>
      <c r="CA82" s="47"/>
      <c r="CB82" s="47"/>
      <c r="CC82" s="47"/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47"/>
      <c r="CQ82" s="47"/>
      <c r="CR82" s="47"/>
      <c r="CS82" s="47"/>
      <c r="CT82" s="47"/>
      <c r="CU82" s="47"/>
    </row>
    <row r="83" spans="1:99" ht="30">
      <c r="A83" s="108"/>
      <c r="B83" s="109" t="s">
        <v>124</v>
      </c>
      <c r="C83" s="33" t="s">
        <v>125</v>
      </c>
      <c r="D83" s="90" t="s">
        <v>1</v>
      </c>
      <c r="E83" s="90">
        <v>1</v>
      </c>
      <c r="F83" s="110">
        <f>TRUNC(160.5037,2)</f>
        <v>160.5</v>
      </c>
      <c r="G83" s="110">
        <f>TRUNC(E83*F83,2)</f>
        <v>160.5</v>
      </c>
      <c r="H83" s="111"/>
      <c r="I83" s="90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  <c r="BT83" s="47"/>
      <c r="BU83" s="47"/>
      <c r="BV83" s="47"/>
      <c r="BW83" s="47"/>
      <c r="BX83" s="47"/>
      <c r="BY83" s="47"/>
      <c r="BZ83" s="47"/>
      <c r="CA83" s="47"/>
      <c r="CB83" s="47"/>
      <c r="CC83" s="47"/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47"/>
      <c r="CQ83" s="47"/>
      <c r="CR83" s="47"/>
      <c r="CS83" s="47"/>
      <c r="CT83" s="47"/>
      <c r="CU83" s="47"/>
    </row>
    <row r="84" spans="1:99" ht="15">
      <c r="A84" s="108"/>
      <c r="B84" s="109" t="s">
        <v>71</v>
      </c>
      <c r="C84" s="33" t="s">
        <v>72</v>
      </c>
      <c r="D84" s="90" t="s">
        <v>6</v>
      </c>
      <c r="E84" s="90">
        <v>0.0014</v>
      </c>
      <c r="F84" s="110">
        <f>TRUNC(4.22,2)</f>
        <v>4.22</v>
      </c>
      <c r="G84" s="110">
        <f>TRUNC(E84*F84,2)</f>
        <v>0</v>
      </c>
      <c r="H84" s="111"/>
      <c r="I84" s="90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  <c r="BT84" s="47"/>
      <c r="BU84" s="47"/>
      <c r="BV84" s="47"/>
      <c r="BW84" s="47"/>
      <c r="BX84" s="47"/>
      <c r="BY84" s="47"/>
      <c r="BZ84" s="47"/>
      <c r="CA84" s="47"/>
      <c r="CB84" s="47"/>
      <c r="CC84" s="47"/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47"/>
      <c r="CQ84" s="47"/>
      <c r="CR84" s="47"/>
      <c r="CS84" s="47"/>
      <c r="CT84" s="47"/>
      <c r="CU84" s="47"/>
    </row>
    <row r="85" spans="1:99" ht="15">
      <c r="A85" s="108"/>
      <c r="B85" s="109" t="s">
        <v>45</v>
      </c>
      <c r="C85" s="33" t="s">
        <v>59</v>
      </c>
      <c r="D85" s="90" t="s">
        <v>2</v>
      </c>
      <c r="E85" s="90">
        <v>0.515</v>
      </c>
      <c r="F85" s="110">
        <f>TRUNC(16.55,2)</f>
        <v>16.55</v>
      </c>
      <c r="G85" s="110">
        <f>TRUNC(E85*F85,2)</f>
        <v>8.52</v>
      </c>
      <c r="H85" s="111"/>
      <c r="I85" s="90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47"/>
      <c r="CC85" s="47"/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47"/>
      <c r="CQ85" s="47"/>
      <c r="CR85" s="47"/>
      <c r="CS85" s="47"/>
      <c r="CT85" s="47"/>
      <c r="CU85" s="47"/>
    </row>
    <row r="86" spans="1:99" ht="15">
      <c r="A86" s="108"/>
      <c r="B86" s="109" t="s">
        <v>53</v>
      </c>
      <c r="C86" s="33" t="s">
        <v>65</v>
      </c>
      <c r="D86" s="90" t="s">
        <v>2</v>
      </c>
      <c r="E86" s="90">
        <v>0.515</v>
      </c>
      <c r="F86" s="110">
        <f>TRUNC(22.86,2)</f>
        <v>22.86</v>
      </c>
      <c r="G86" s="110">
        <f>TRUNC(E86*F86,2)</f>
        <v>11.77</v>
      </c>
      <c r="H86" s="111"/>
      <c r="I86" s="90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47"/>
      <c r="CC86" s="47"/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47"/>
      <c r="CQ86" s="47"/>
      <c r="CR86" s="47"/>
      <c r="CS86" s="47"/>
      <c r="CT86" s="47"/>
      <c r="CU86" s="47"/>
    </row>
    <row r="87" spans="1:99" ht="15">
      <c r="A87" s="108"/>
      <c r="B87" s="109"/>
      <c r="C87" s="33"/>
      <c r="D87" s="90"/>
      <c r="E87" s="90" t="s">
        <v>3</v>
      </c>
      <c r="F87" s="110"/>
      <c r="G87" s="110">
        <f>TRUNC(SUM(G83:G86),2)</f>
        <v>180.79</v>
      </c>
      <c r="H87" s="111"/>
      <c r="I87" s="90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  <c r="BT87" s="47"/>
      <c r="BU87" s="47"/>
      <c r="BV87" s="47"/>
      <c r="BW87" s="47"/>
      <c r="BX87" s="47"/>
      <c r="BY87" s="47"/>
      <c r="BZ87" s="47"/>
      <c r="CA87" s="47"/>
      <c r="CB87" s="47"/>
      <c r="CC87" s="47"/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47"/>
      <c r="CQ87" s="47"/>
      <c r="CR87" s="47"/>
      <c r="CS87" s="47"/>
      <c r="CT87" s="47"/>
      <c r="CU87" s="47"/>
    </row>
    <row r="88" spans="1:99" ht="47.25">
      <c r="A88" s="113" t="s">
        <v>179</v>
      </c>
      <c r="B88" s="112" t="s">
        <v>180</v>
      </c>
      <c r="C88" s="105" t="s">
        <v>181</v>
      </c>
      <c r="D88" s="85" t="s">
        <v>6</v>
      </c>
      <c r="E88" s="85">
        <v>1</v>
      </c>
      <c r="F88" s="116">
        <f>TRUNC(F89,2)</f>
        <v>1973.41</v>
      </c>
      <c r="G88" s="104">
        <f>TRUNC((F88*1.2247),2)</f>
        <v>2416.83</v>
      </c>
      <c r="H88" s="104">
        <f>TRUNC((F88*E88),2)</f>
        <v>1973.41</v>
      </c>
      <c r="I88" s="104">
        <f>TRUNC((E88*G88),2)</f>
        <v>2416.83</v>
      </c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47"/>
      <c r="CC88" s="47"/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47"/>
      <c r="CQ88" s="47"/>
      <c r="CR88" s="47"/>
      <c r="CS88" s="47"/>
      <c r="CT88" s="47"/>
      <c r="CU88" s="47"/>
    </row>
    <row r="89" spans="1:99" ht="30">
      <c r="A89" s="108"/>
      <c r="B89" s="109" t="s">
        <v>180</v>
      </c>
      <c r="C89" s="33" t="s">
        <v>181</v>
      </c>
      <c r="D89" s="90" t="s">
        <v>6</v>
      </c>
      <c r="E89" s="90">
        <v>1</v>
      </c>
      <c r="F89" s="110">
        <f>TRUNC(1973.418845,2)</f>
        <v>1973.41</v>
      </c>
      <c r="G89" s="110">
        <f>TRUNC(E89*F89,2)</f>
        <v>1973.41</v>
      </c>
      <c r="H89" s="111"/>
      <c r="I89" s="90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47"/>
      <c r="CC89" s="47"/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47"/>
      <c r="CQ89" s="47"/>
      <c r="CR89" s="47"/>
      <c r="CS89" s="47"/>
      <c r="CT89" s="47"/>
      <c r="CU89" s="47"/>
    </row>
    <row r="90" spans="1:99" ht="15">
      <c r="A90" s="108"/>
      <c r="B90" s="109" t="s">
        <v>182</v>
      </c>
      <c r="C90" s="33" t="s">
        <v>183</v>
      </c>
      <c r="D90" s="90" t="s">
        <v>6</v>
      </c>
      <c r="E90" s="90">
        <v>1</v>
      </c>
      <c r="F90" s="110">
        <f>TRUNC(1967.33,2)</f>
        <v>1967.33</v>
      </c>
      <c r="G90" s="110">
        <f>TRUNC(E90*F90,2)</f>
        <v>1967.33</v>
      </c>
      <c r="H90" s="111"/>
      <c r="I90" s="90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47"/>
      <c r="CC90" s="47"/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47"/>
      <c r="CQ90" s="47"/>
      <c r="CR90" s="47"/>
      <c r="CS90" s="47"/>
      <c r="CT90" s="47"/>
      <c r="CU90" s="47"/>
    </row>
    <row r="91" spans="1:99" ht="15">
      <c r="A91" s="108"/>
      <c r="B91" s="109" t="s">
        <v>45</v>
      </c>
      <c r="C91" s="33" t="s">
        <v>59</v>
      </c>
      <c r="D91" s="90" t="s">
        <v>2</v>
      </c>
      <c r="E91" s="90">
        <v>0.1545</v>
      </c>
      <c r="F91" s="110">
        <f>TRUNC(16.55,2)</f>
        <v>16.55</v>
      </c>
      <c r="G91" s="110">
        <f>TRUNC(E91*F91,2)</f>
        <v>2.55</v>
      </c>
      <c r="H91" s="111"/>
      <c r="I91" s="9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  <c r="BT91" s="47"/>
      <c r="BU91" s="47"/>
      <c r="BV91" s="47"/>
      <c r="BW91" s="47"/>
      <c r="BX91" s="47"/>
      <c r="BY91" s="47"/>
      <c r="BZ91" s="47"/>
      <c r="CA91" s="47"/>
      <c r="CB91" s="47"/>
      <c r="CC91" s="47"/>
      <c r="CD91" s="47"/>
      <c r="CE91" s="47"/>
      <c r="CF91" s="47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  <c r="CU91" s="47"/>
    </row>
    <row r="92" spans="1:99" ht="15">
      <c r="A92" s="108"/>
      <c r="B92" s="109" t="s">
        <v>53</v>
      </c>
      <c r="C92" s="33" t="s">
        <v>65</v>
      </c>
      <c r="D92" s="90" t="s">
        <v>2</v>
      </c>
      <c r="E92" s="90">
        <v>0.1545</v>
      </c>
      <c r="F92" s="110">
        <f>TRUNC(22.86,2)</f>
        <v>22.86</v>
      </c>
      <c r="G92" s="110">
        <f>TRUNC(E92*F92,2)</f>
        <v>3.53</v>
      </c>
      <c r="H92" s="111"/>
      <c r="I92" s="9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</row>
    <row r="93" spans="1:99" ht="15">
      <c r="A93" s="108"/>
      <c r="B93" s="109"/>
      <c r="C93" s="33"/>
      <c r="D93" s="90"/>
      <c r="E93" s="90" t="s">
        <v>3</v>
      </c>
      <c r="F93" s="110"/>
      <c r="G93" s="110">
        <f>TRUNC(SUM(G90:G92),2)</f>
        <v>1973.41</v>
      </c>
      <c r="H93" s="111"/>
      <c r="I93" s="90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</row>
    <row r="94" spans="1:99" ht="15.75">
      <c r="A94" s="148" t="s">
        <v>33</v>
      </c>
      <c r="B94" s="149"/>
      <c r="C94" s="150"/>
      <c r="D94" s="149"/>
      <c r="E94" s="149"/>
      <c r="F94" s="159" t="s">
        <v>38</v>
      </c>
      <c r="G94" s="159"/>
      <c r="H94" s="129">
        <f>H41+H54+H60+H67+H74+H81+H88</f>
        <v>47458.950000000004</v>
      </c>
      <c r="I94" s="129">
        <f>I41+I54+I60+I67+I74+I81+I88</f>
        <v>58120.53999999999</v>
      </c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</row>
    <row r="95" spans="1:99" ht="15.75">
      <c r="A95" s="113" t="s">
        <v>11</v>
      </c>
      <c r="B95" s="114"/>
      <c r="C95" s="105" t="s">
        <v>140</v>
      </c>
      <c r="D95" s="113"/>
      <c r="E95" s="113"/>
      <c r="F95" s="116"/>
      <c r="G95" s="104"/>
      <c r="H95" s="104"/>
      <c r="I95" s="104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</row>
    <row r="96" spans="1:99" ht="45">
      <c r="A96" s="118" t="s">
        <v>7</v>
      </c>
      <c r="B96" s="119" t="s">
        <v>141</v>
      </c>
      <c r="C96" s="120" t="s">
        <v>142</v>
      </c>
      <c r="D96" s="118" t="s">
        <v>2</v>
      </c>
      <c r="E96" s="118">
        <v>8</v>
      </c>
      <c r="F96" s="116">
        <f>TRUNC(F97,2)</f>
        <v>254.2</v>
      </c>
      <c r="G96" s="104">
        <f>TRUNC((F96*1.2247),2)</f>
        <v>311.31</v>
      </c>
      <c r="H96" s="104">
        <f>TRUNC((F96*E96),2)</f>
        <v>2033.6</v>
      </c>
      <c r="I96" s="104">
        <f>TRUNC((E96*G96),2)</f>
        <v>2490.48</v>
      </c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</row>
    <row r="97" spans="1:99" ht="45">
      <c r="A97" s="90"/>
      <c r="B97" s="109" t="s">
        <v>141</v>
      </c>
      <c r="C97" s="33" t="s">
        <v>142</v>
      </c>
      <c r="D97" s="90" t="s">
        <v>2</v>
      </c>
      <c r="E97" s="90">
        <v>1</v>
      </c>
      <c r="F97" s="110">
        <f>G104</f>
        <v>254.2</v>
      </c>
      <c r="G97" s="110">
        <f aca="true" t="shared" si="1" ref="G97:G103">TRUNC(E97*F97,2)</f>
        <v>254.2</v>
      </c>
      <c r="H97" s="111"/>
      <c r="I97" s="9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</row>
    <row r="98" spans="1:99" ht="15">
      <c r="A98" s="90"/>
      <c r="B98" s="109" t="s">
        <v>91</v>
      </c>
      <c r="C98" s="33" t="s">
        <v>92</v>
      </c>
      <c r="D98" s="90" t="s">
        <v>44</v>
      </c>
      <c r="E98" s="90">
        <v>0.006</v>
      </c>
      <c r="F98" s="110">
        <f>TRUNC(9.85,2)</f>
        <v>9.85</v>
      </c>
      <c r="G98" s="110">
        <f t="shared" si="1"/>
        <v>0.05</v>
      </c>
      <c r="H98" s="111"/>
      <c r="I98" s="9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</row>
    <row r="99" spans="1:99" ht="30">
      <c r="A99" s="90"/>
      <c r="B99" s="109" t="s">
        <v>93</v>
      </c>
      <c r="C99" s="33" t="s">
        <v>94</v>
      </c>
      <c r="D99" s="90" t="s">
        <v>95</v>
      </c>
      <c r="E99" s="90">
        <v>0.018000000000000002</v>
      </c>
      <c r="F99" s="110">
        <f>TRUNC(9.72,2)</f>
        <v>9.72</v>
      </c>
      <c r="G99" s="110">
        <f t="shared" si="1"/>
        <v>0.17</v>
      </c>
      <c r="H99" s="111"/>
      <c r="I99" s="90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</row>
    <row r="100" spans="1:99" ht="15">
      <c r="A100" s="90"/>
      <c r="B100" s="109" t="s">
        <v>96</v>
      </c>
      <c r="C100" s="33" t="s">
        <v>97</v>
      </c>
      <c r="D100" s="90" t="s">
        <v>95</v>
      </c>
      <c r="E100" s="90">
        <v>1.2</v>
      </c>
      <c r="F100" s="110">
        <f>TRUNC(4.439,2)</f>
        <v>4.43</v>
      </c>
      <c r="G100" s="110">
        <f t="shared" si="1"/>
        <v>5.31</v>
      </c>
      <c r="H100" s="111"/>
      <c r="I100" s="90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</row>
    <row r="101" spans="1:99" ht="15">
      <c r="A101" s="90"/>
      <c r="B101" s="109" t="s">
        <v>45</v>
      </c>
      <c r="C101" s="33" t="s">
        <v>59</v>
      </c>
      <c r="D101" s="90" t="s">
        <v>2</v>
      </c>
      <c r="E101" s="90">
        <v>1</v>
      </c>
      <c r="F101" s="110">
        <f>TRUNC(16.55,2)</f>
        <v>16.55</v>
      </c>
      <c r="G101" s="110">
        <f t="shared" si="1"/>
        <v>16.55</v>
      </c>
      <c r="H101" s="111"/>
      <c r="I101" s="90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47"/>
      <c r="CC101" s="47"/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47"/>
      <c r="CQ101" s="47"/>
      <c r="CR101" s="47"/>
      <c r="CS101" s="47"/>
      <c r="CT101" s="47"/>
      <c r="CU101" s="47"/>
    </row>
    <row r="102" spans="1:99" ht="30">
      <c r="A102" s="90"/>
      <c r="B102" s="109" t="s">
        <v>98</v>
      </c>
      <c r="C102" s="33" t="s">
        <v>99</v>
      </c>
      <c r="D102" s="90" t="s">
        <v>2</v>
      </c>
      <c r="E102" s="90">
        <v>1</v>
      </c>
      <c r="F102" s="110">
        <f>TRUNC(25.68,2)</f>
        <v>25.68</v>
      </c>
      <c r="G102" s="110">
        <f t="shared" si="1"/>
        <v>25.68</v>
      </c>
      <c r="H102" s="111"/>
      <c r="I102" s="90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47"/>
      <c r="CC102" s="47"/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47"/>
      <c r="CQ102" s="47"/>
      <c r="CR102" s="47"/>
      <c r="CS102" s="47"/>
      <c r="CT102" s="47"/>
      <c r="CU102" s="47"/>
    </row>
    <row r="103" spans="1:99" ht="15">
      <c r="A103" s="90"/>
      <c r="B103" s="109" t="s">
        <v>143</v>
      </c>
      <c r="C103" s="33" t="s">
        <v>144</v>
      </c>
      <c r="D103" s="90" t="s">
        <v>6</v>
      </c>
      <c r="E103" s="90">
        <v>0.000115</v>
      </c>
      <c r="F103" s="110">
        <f>TRUNC(1795187.68,2)</f>
        <v>1795187.68</v>
      </c>
      <c r="G103" s="110">
        <f t="shared" si="1"/>
        <v>206.44</v>
      </c>
      <c r="H103" s="111"/>
      <c r="I103" s="90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47"/>
      <c r="CC103" s="47"/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47"/>
      <c r="CQ103" s="47"/>
      <c r="CR103" s="47"/>
      <c r="CS103" s="47"/>
      <c r="CT103" s="47"/>
      <c r="CU103" s="47"/>
    </row>
    <row r="104" spans="1:99" ht="15">
      <c r="A104" s="90"/>
      <c r="B104" s="109"/>
      <c r="C104" s="33"/>
      <c r="D104" s="90"/>
      <c r="E104" s="90" t="s">
        <v>3</v>
      </c>
      <c r="F104" s="110"/>
      <c r="G104" s="110">
        <f>TRUNC(SUM(G98:G103),2)</f>
        <v>254.2</v>
      </c>
      <c r="H104" s="111"/>
      <c r="I104" s="90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  <c r="BT104" s="47"/>
      <c r="BU104" s="47"/>
      <c r="BV104" s="47"/>
      <c r="BW104" s="47"/>
      <c r="BX104" s="47"/>
      <c r="BY104" s="47"/>
      <c r="BZ104" s="47"/>
      <c r="CA104" s="47"/>
      <c r="CB104" s="47"/>
      <c r="CC104" s="47"/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47"/>
      <c r="CQ104" s="47"/>
      <c r="CR104" s="47"/>
      <c r="CS104" s="47"/>
      <c r="CT104" s="47"/>
      <c r="CU104" s="47"/>
    </row>
    <row r="105" spans="1:99" ht="15.75">
      <c r="A105" s="148" t="s">
        <v>33</v>
      </c>
      <c r="B105" s="149"/>
      <c r="C105" s="150"/>
      <c r="D105" s="149"/>
      <c r="E105" s="149"/>
      <c r="F105" s="159" t="s">
        <v>40</v>
      </c>
      <c r="G105" s="159"/>
      <c r="H105" s="129">
        <f>H96</f>
        <v>2033.6</v>
      </c>
      <c r="I105" s="129">
        <f>I96</f>
        <v>2490.48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</row>
    <row r="106" spans="1:99" ht="15.75">
      <c r="A106" s="118" t="s">
        <v>12</v>
      </c>
      <c r="B106" s="119"/>
      <c r="C106" s="123" t="s">
        <v>145</v>
      </c>
      <c r="D106" s="118"/>
      <c r="E106" s="118"/>
      <c r="F106" s="121"/>
      <c r="G106" s="121"/>
      <c r="H106" s="118"/>
      <c r="I106" s="118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47"/>
      <c r="CC106" s="47"/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47"/>
      <c r="CQ106" s="47"/>
      <c r="CR106" s="47"/>
      <c r="CS106" s="47"/>
      <c r="CT106" s="47"/>
      <c r="CU106" s="47"/>
    </row>
    <row r="107" spans="1:99" ht="15.75">
      <c r="A107" s="113" t="s">
        <v>41</v>
      </c>
      <c r="B107" s="112" t="s">
        <v>146</v>
      </c>
      <c r="C107" s="105" t="s">
        <v>147</v>
      </c>
      <c r="D107" s="85" t="s">
        <v>44</v>
      </c>
      <c r="E107" s="85">
        <v>180.88</v>
      </c>
      <c r="F107" s="116">
        <f>TRUNC(F108,2)</f>
        <v>9.77</v>
      </c>
      <c r="G107" s="104">
        <f>TRUNC((F107*1.2247),2)</f>
        <v>11.96</v>
      </c>
      <c r="H107" s="104">
        <f>TRUNC((F107*E107),2)</f>
        <v>1767.19</v>
      </c>
      <c r="I107" s="104">
        <f>TRUNC((E107*G107),2)</f>
        <v>2163.32</v>
      </c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  <c r="BT107" s="47"/>
      <c r="BU107" s="47"/>
      <c r="BV107" s="47"/>
      <c r="BW107" s="47"/>
      <c r="BX107" s="47"/>
      <c r="BY107" s="47"/>
      <c r="BZ107" s="47"/>
      <c r="CA107" s="47"/>
      <c r="CB107" s="47"/>
      <c r="CC107" s="47"/>
      <c r="CD107" s="47"/>
      <c r="CE107" s="47"/>
      <c r="CF107" s="47"/>
      <c r="CG107" s="47"/>
      <c r="CH107" s="47"/>
      <c r="CI107" s="47"/>
      <c r="CJ107" s="47"/>
      <c r="CK107" s="47"/>
      <c r="CL107" s="47"/>
      <c r="CM107" s="47"/>
      <c r="CN107" s="47"/>
      <c r="CO107" s="47"/>
      <c r="CP107" s="47"/>
      <c r="CQ107" s="47"/>
      <c r="CR107" s="47"/>
      <c r="CS107" s="47"/>
      <c r="CT107" s="47"/>
      <c r="CU107" s="47"/>
    </row>
    <row r="108" spans="1:99" ht="15">
      <c r="A108" s="90"/>
      <c r="B108" s="109" t="s">
        <v>146</v>
      </c>
      <c r="C108" s="33" t="s">
        <v>147</v>
      </c>
      <c r="D108" s="90" t="s">
        <v>44</v>
      </c>
      <c r="E108" s="90">
        <v>1</v>
      </c>
      <c r="F108" s="110">
        <f>G110</f>
        <v>9.77</v>
      </c>
      <c r="G108" s="110">
        <f>TRUNC(E108*F108,2)</f>
        <v>9.77</v>
      </c>
      <c r="H108" s="111"/>
      <c r="I108" s="90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  <c r="BT108" s="47"/>
      <c r="BU108" s="47"/>
      <c r="BV108" s="47"/>
      <c r="BW108" s="47"/>
      <c r="BX108" s="47"/>
      <c r="BY108" s="47"/>
      <c r="BZ108" s="47"/>
      <c r="CA108" s="47"/>
      <c r="CB108" s="47"/>
      <c r="CC108" s="47"/>
      <c r="CD108" s="47"/>
      <c r="CE108" s="47"/>
      <c r="CF108" s="47"/>
      <c r="CG108" s="47"/>
      <c r="CH108" s="47"/>
      <c r="CI108" s="47"/>
      <c r="CJ108" s="47"/>
      <c r="CK108" s="47"/>
      <c r="CL108" s="47"/>
      <c r="CM108" s="47"/>
      <c r="CN108" s="47"/>
      <c r="CO108" s="47"/>
      <c r="CP108" s="47"/>
      <c r="CQ108" s="47"/>
      <c r="CR108" s="47"/>
      <c r="CS108" s="47"/>
      <c r="CT108" s="47"/>
      <c r="CU108" s="47"/>
    </row>
    <row r="109" spans="1:99" ht="30">
      <c r="A109" s="90"/>
      <c r="B109" s="109" t="s">
        <v>74</v>
      </c>
      <c r="C109" s="33" t="s">
        <v>75</v>
      </c>
      <c r="D109" s="90" t="s">
        <v>44</v>
      </c>
      <c r="E109" s="90">
        <v>1.05</v>
      </c>
      <c r="F109" s="110">
        <v>9.3098</v>
      </c>
      <c r="G109" s="110">
        <f>TRUNC(E109*F109,2)</f>
        <v>9.77</v>
      </c>
      <c r="H109" s="111"/>
      <c r="I109" s="90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  <c r="BT109" s="47"/>
      <c r="BU109" s="47"/>
      <c r="BV109" s="47"/>
      <c r="BW109" s="47"/>
      <c r="BX109" s="47"/>
      <c r="BY109" s="47"/>
      <c r="BZ109" s="47"/>
      <c r="CA109" s="47"/>
      <c r="CB109" s="47"/>
      <c r="CC109" s="47"/>
      <c r="CD109" s="47"/>
      <c r="CE109" s="47"/>
      <c r="CF109" s="47"/>
      <c r="CG109" s="47"/>
      <c r="CH109" s="47"/>
      <c r="CI109" s="47"/>
      <c r="CJ109" s="47"/>
      <c r="CK109" s="47"/>
      <c r="CL109" s="47"/>
      <c r="CM109" s="47"/>
      <c r="CN109" s="47"/>
      <c r="CO109" s="47"/>
      <c r="CP109" s="47"/>
      <c r="CQ109" s="47"/>
      <c r="CR109" s="47"/>
      <c r="CS109" s="47"/>
      <c r="CT109" s="47"/>
      <c r="CU109" s="47"/>
    </row>
    <row r="110" spans="1:99" ht="15">
      <c r="A110" s="90"/>
      <c r="B110" s="109"/>
      <c r="C110" s="33"/>
      <c r="D110" s="90"/>
      <c r="E110" s="90" t="s">
        <v>3</v>
      </c>
      <c r="F110" s="110"/>
      <c r="G110" s="110">
        <f>TRUNC(SUM(G109:G109),2)</f>
        <v>9.77</v>
      </c>
      <c r="H110" s="111"/>
      <c r="I110" s="90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  <c r="BT110" s="47"/>
      <c r="BU110" s="47"/>
      <c r="BV110" s="47"/>
      <c r="BW110" s="47"/>
      <c r="BX110" s="47"/>
      <c r="BY110" s="47"/>
      <c r="BZ110" s="47"/>
      <c r="CA110" s="47"/>
      <c r="CB110" s="47"/>
      <c r="CC110" s="47"/>
      <c r="CD110" s="47"/>
      <c r="CE110" s="47"/>
      <c r="CF110" s="47"/>
      <c r="CG110" s="47"/>
      <c r="CH110" s="47"/>
      <c r="CI110" s="47"/>
      <c r="CJ110" s="47"/>
      <c r="CK110" s="47"/>
      <c r="CL110" s="47"/>
      <c r="CM110" s="47"/>
      <c r="CN110" s="47"/>
      <c r="CO110" s="47"/>
      <c r="CP110" s="47"/>
      <c r="CQ110" s="47"/>
      <c r="CR110" s="47"/>
      <c r="CS110" s="47"/>
      <c r="CT110" s="47"/>
      <c r="CU110" s="47"/>
    </row>
    <row r="111" spans="1:99" ht="30">
      <c r="A111" s="113" t="s">
        <v>42</v>
      </c>
      <c r="B111" s="114" t="s">
        <v>150</v>
      </c>
      <c r="C111" s="115" t="s">
        <v>177</v>
      </c>
      <c r="D111" s="113" t="s">
        <v>0</v>
      </c>
      <c r="E111" s="113">
        <v>6.25</v>
      </c>
      <c r="F111" s="116">
        <f>TRUNC(F112,2)</f>
        <v>1152.29</v>
      </c>
      <c r="G111" s="104">
        <f>TRUNC((F111*1.2247),2)</f>
        <v>1411.2</v>
      </c>
      <c r="H111" s="104">
        <f>TRUNC((F111*E111),2)</f>
        <v>7201.81</v>
      </c>
      <c r="I111" s="104">
        <f>TRUNC((E111*G111),2)</f>
        <v>8820</v>
      </c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47"/>
      <c r="CK111" s="47"/>
      <c r="CL111" s="47"/>
      <c r="CM111" s="47"/>
      <c r="CN111" s="47"/>
      <c r="CO111" s="47"/>
      <c r="CP111" s="47"/>
      <c r="CQ111" s="47"/>
      <c r="CR111" s="47"/>
      <c r="CS111" s="47"/>
      <c r="CT111" s="47"/>
      <c r="CU111" s="47"/>
    </row>
    <row r="112" spans="1:99" ht="45">
      <c r="A112" s="90"/>
      <c r="B112" s="109" t="s">
        <v>150</v>
      </c>
      <c r="C112" s="33" t="s">
        <v>184</v>
      </c>
      <c r="D112" s="90" t="s">
        <v>0</v>
      </c>
      <c r="E112" s="90">
        <v>1</v>
      </c>
      <c r="F112" s="110">
        <f>G116</f>
        <v>1152.29</v>
      </c>
      <c r="G112" s="110">
        <f>TRUNC(E112*F112,2)</f>
        <v>1152.29</v>
      </c>
      <c r="H112" s="111"/>
      <c r="I112" s="90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  <c r="BT112" s="47"/>
      <c r="BU112" s="47"/>
      <c r="BV112" s="47"/>
      <c r="BW112" s="47"/>
      <c r="BX112" s="47"/>
      <c r="BY112" s="47"/>
      <c r="BZ112" s="47"/>
      <c r="CA112" s="47"/>
      <c r="CB112" s="47"/>
      <c r="CC112" s="47"/>
      <c r="CD112" s="47"/>
      <c r="CE112" s="47"/>
      <c r="CF112" s="47"/>
      <c r="CG112" s="47"/>
      <c r="CH112" s="47"/>
      <c r="CI112" s="47"/>
      <c r="CJ112" s="47"/>
      <c r="CK112" s="47"/>
      <c r="CL112" s="47"/>
      <c r="CM112" s="47"/>
      <c r="CN112" s="47"/>
      <c r="CO112" s="47"/>
      <c r="CP112" s="47"/>
      <c r="CQ112" s="47"/>
      <c r="CR112" s="47"/>
      <c r="CS112" s="47"/>
      <c r="CT112" s="47"/>
      <c r="CU112" s="47"/>
    </row>
    <row r="113" spans="1:99" ht="15">
      <c r="A113" s="90"/>
      <c r="B113" s="109" t="s">
        <v>58</v>
      </c>
      <c r="C113" s="33" t="s">
        <v>148</v>
      </c>
      <c r="D113" s="90" t="s">
        <v>44</v>
      </c>
      <c r="E113" s="90">
        <v>34.75</v>
      </c>
      <c r="F113" s="110">
        <f>TRUNC(29.5,2)</f>
        <v>29.5</v>
      </c>
      <c r="G113" s="110">
        <f>TRUNC(E113*F113,2)</f>
        <v>1025.12</v>
      </c>
      <c r="H113" s="111"/>
      <c r="I113" s="90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  <c r="BT113" s="47"/>
      <c r="BU113" s="47"/>
      <c r="BV113" s="47"/>
      <c r="BW113" s="47"/>
      <c r="BX113" s="47"/>
      <c r="BY113" s="47"/>
      <c r="BZ113" s="47"/>
      <c r="CA113" s="47"/>
      <c r="CB113" s="47"/>
      <c r="CC113" s="47"/>
      <c r="CD113" s="47"/>
      <c r="CE113" s="47"/>
      <c r="CF113" s="47"/>
      <c r="CG113" s="47"/>
      <c r="CH113" s="47"/>
      <c r="CI113" s="47"/>
      <c r="CJ113" s="47"/>
      <c r="CK113" s="47"/>
      <c r="CL113" s="47"/>
      <c r="CM113" s="47"/>
      <c r="CN113" s="47"/>
      <c r="CO113" s="47"/>
      <c r="CP113" s="47"/>
      <c r="CQ113" s="47"/>
      <c r="CR113" s="47"/>
      <c r="CS113" s="47"/>
      <c r="CT113" s="47"/>
      <c r="CU113" s="47"/>
    </row>
    <row r="114" spans="1:99" ht="15">
      <c r="A114" s="90"/>
      <c r="B114" s="109" t="s">
        <v>54</v>
      </c>
      <c r="C114" s="33" t="s">
        <v>149</v>
      </c>
      <c r="D114" s="90" t="s">
        <v>2</v>
      </c>
      <c r="E114" s="90">
        <v>3.09</v>
      </c>
      <c r="F114" s="110">
        <f>TRUNC(24.61,2)</f>
        <v>24.61</v>
      </c>
      <c r="G114" s="110">
        <f>TRUNC(E114*F114,2)</f>
        <v>76.04</v>
      </c>
      <c r="H114" s="111"/>
      <c r="I114" s="90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  <c r="BT114" s="47"/>
      <c r="BU114" s="47"/>
      <c r="BV114" s="47"/>
      <c r="BW114" s="47"/>
      <c r="BX114" s="47"/>
      <c r="BY114" s="47"/>
      <c r="BZ114" s="47"/>
      <c r="CA114" s="47"/>
      <c r="CB114" s="47"/>
      <c r="CC114" s="47"/>
      <c r="CD114" s="47"/>
      <c r="CE114" s="47"/>
      <c r="CF114" s="47"/>
      <c r="CG114" s="47"/>
      <c r="CH114" s="47"/>
      <c r="CI114" s="47"/>
      <c r="CJ114" s="47"/>
      <c r="CK114" s="47"/>
      <c r="CL114" s="47"/>
      <c r="CM114" s="47"/>
      <c r="CN114" s="47"/>
      <c r="CO114" s="47"/>
      <c r="CP114" s="47"/>
      <c r="CQ114" s="47"/>
      <c r="CR114" s="47"/>
      <c r="CS114" s="47"/>
      <c r="CT114" s="47"/>
      <c r="CU114" s="47"/>
    </row>
    <row r="115" spans="1:99" ht="15">
      <c r="A115" s="90"/>
      <c r="B115" s="109" t="s">
        <v>45</v>
      </c>
      <c r="C115" s="33" t="s">
        <v>59</v>
      </c>
      <c r="D115" s="90" t="s">
        <v>2</v>
      </c>
      <c r="E115" s="90">
        <v>3.09</v>
      </c>
      <c r="F115" s="110">
        <f>TRUNC(16.55,2)</f>
        <v>16.55</v>
      </c>
      <c r="G115" s="110">
        <f>TRUNC(E115*F115,2)</f>
        <v>51.13</v>
      </c>
      <c r="H115" s="111"/>
      <c r="I115" s="90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47"/>
      <c r="CK115" s="47"/>
      <c r="CL115" s="47"/>
      <c r="CM115" s="47"/>
      <c r="CN115" s="47"/>
      <c r="CO115" s="47"/>
      <c r="CP115" s="47"/>
      <c r="CQ115" s="47"/>
      <c r="CR115" s="47"/>
      <c r="CS115" s="47"/>
      <c r="CT115" s="47"/>
      <c r="CU115" s="47"/>
    </row>
    <row r="116" spans="1:99" s="21" customFormat="1" ht="15">
      <c r="A116" s="90"/>
      <c r="B116" s="109"/>
      <c r="C116" s="33"/>
      <c r="D116" s="90"/>
      <c r="E116" s="90" t="s">
        <v>3</v>
      </c>
      <c r="F116" s="110"/>
      <c r="G116" s="110">
        <f>TRUNC(SUM(G113:G115),2)</f>
        <v>1152.29</v>
      </c>
      <c r="H116" s="111"/>
      <c r="I116" s="90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</row>
    <row r="117" spans="1:99" ht="15.75">
      <c r="A117" s="148" t="s">
        <v>33</v>
      </c>
      <c r="B117" s="149"/>
      <c r="C117" s="150"/>
      <c r="D117" s="149"/>
      <c r="E117" s="149"/>
      <c r="F117" s="159" t="s">
        <v>43</v>
      </c>
      <c r="G117" s="159"/>
      <c r="H117" s="129">
        <f>H107+H111</f>
        <v>8969</v>
      </c>
      <c r="I117" s="129">
        <f>I107+I111</f>
        <v>10983.32</v>
      </c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  <c r="BT117" s="47"/>
      <c r="BU117" s="47"/>
      <c r="BV117" s="47"/>
      <c r="BW117" s="47"/>
      <c r="BX117" s="47"/>
      <c r="BY117" s="47"/>
      <c r="BZ117" s="47"/>
      <c r="CA117" s="47"/>
      <c r="CB117" s="47"/>
      <c r="CC117" s="47"/>
      <c r="CD117" s="47"/>
      <c r="CE117" s="47"/>
      <c r="CF117" s="47"/>
      <c r="CG117" s="47"/>
      <c r="CH117" s="47"/>
      <c r="CI117" s="47"/>
      <c r="CJ117" s="47"/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</row>
    <row r="118" spans="1:99" ht="15.75">
      <c r="A118" s="118" t="s">
        <v>160</v>
      </c>
      <c r="B118" s="119"/>
      <c r="C118" s="123" t="s">
        <v>157</v>
      </c>
      <c r="D118" s="118"/>
      <c r="E118" s="118"/>
      <c r="F118" s="121"/>
      <c r="G118" s="121"/>
      <c r="H118" s="118"/>
      <c r="I118" s="118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  <c r="BT118" s="47"/>
      <c r="BU118" s="47"/>
      <c r="BV118" s="47"/>
      <c r="BW118" s="47"/>
      <c r="BX118" s="47"/>
      <c r="BY118" s="47"/>
      <c r="BZ118" s="47"/>
      <c r="CA118" s="47"/>
      <c r="CB118" s="47"/>
      <c r="CC118" s="47"/>
      <c r="CD118" s="47"/>
      <c r="CE118" s="47"/>
      <c r="CF118" s="47"/>
      <c r="CG118" s="47"/>
      <c r="CH118" s="47"/>
      <c r="CI118" s="47"/>
      <c r="CJ118" s="47"/>
      <c r="CK118" s="47"/>
      <c r="CL118" s="47"/>
      <c r="CM118" s="47"/>
      <c r="CN118" s="47"/>
      <c r="CO118" s="47"/>
      <c r="CP118" s="47"/>
      <c r="CQ118" s="47"/>
      <c r="CR118" s="47"/>
      <c r="CS118" s="47"/>
      <c r="CT118" s="47"/>
      <c r="CU118" s="47"/>
    </row>
    <row r="119" spans="1:9" s="133" customFormat="1" ht="63">
      <c r="A119" s="134" t="s">
        <v>161</v>
      </c>
      <c r="B119" s="135" t="s">
        <v>89</v>
      </c>
      <c r="C119" s="136" t="s">
        <v>90</v>
      </c>
      <c r="D119" s="137" t="s">
        <v>6</v>
      </c>
      <c r="E119" s="137">
        <v>2</v>
      </c>
      <c r="F119" s="138">
        <f>TRUNC(F120,2)</f>
        <v>260.22</v>
      </c>
      <c r="G119" s="139">
        <f>TRUNC((F119*1.2247),2)</f>
        <v>318.69</v>
      </c>
      <c r="H119" s="139">
        <f>TRUNC((F119*E119),2)</f>
        <v>520.44</v>
      </c>
      <c r="I119" s="139">
        <f>TRUNC((E119*G119),2)</f>
        <v>637.38</v>
      </c>
    </row>
    <row r="120" spans="1:9" s="133" customFormat="1" ht="60">
      <c r="A120" s="140"/>
      <c r="B120" s="141" t="s">
        <v>89</v>
      </c>
      <c r="C120" s="87" t="s">
        <v>90</v>
      </c>
      <c r="D120" s="86" t="s">
        <v>6</v>
      </c>
      <c r="E120" s="86">
        <v>1</v>
      </c>
      <c r="F120" s="142">
        <f>G123</f>
        <v>260.22</v>
      </c>
      <c r="G120" s="142">
        <f>TRUNC(E120*F120,2)</f>
        <v>260.22</v>
      </c>
      <c r="H120" s="86"/>
      <c r="I120" s="143"/>
    </row>
    <row r="121" spans="1:9" s="133" customFormat="1" ht="15">
      <c r="A121" s="108"/>
      <c r="B121" s="109" t="s">
        <v>45</v>
      </c>
      <c r="C121" s="33" t="s">
        <v>59</v>
      </c>
      <c r="D121" s="90" t="s">
        <v>2</v>
      </c>
      <c r="E121" s="90">
        <v>0.618</v>
      </c>
      <c r="F121" s="110">
        <f>TRUNC(16.55,2)</f>
        <v>16.55</v>
      </c>
      <c r="G121" s="110">
        <f>TRUNC(E121*F121,2)</f>
        <v>10.22</v>
      </c>
      <c r="H121" s="90"/>
      <c r="I121" s="111"/>
    </row>
    <row r="122" spans="1:9" s="133" customFormat="1" ht="30">
      <c r="A122" s="108"/>
      <c r="B122" s="109" t="s">
        <v>155</v>
      </c>
      <c r="C122" s="33" t="s">
        <v>156</v>
      </c>
      <c r="D122" s="90" t="s">
        <v>6</v>
      </c>
      <c r="E122" s="90">
        <v>1</v>
      </c>
      <c r="F122" s="110">
        <f>TRUNC(250,2)</f>
        <v>250</v>
      </c>
      <c r="G122" s="110">
        <f>TRUNC(E122*F122,2)</f>
        <v>250</v>
      </c>
      <c r="H122" s="90"/>
      <c r="I122" s="111"/>
    </row>
    <row r="123" spans="1:99" s="21" customFormat="1" ht="15">
      <c r="A123" s="144"/>
      <c r="B123" s="145"/>
      <c r="C123" s="96"/>
      <c r="D123" s="95"/>
      <c r="E123" s="95" t="s">
        <v>3</v>
      </c>
      <c r="F123" s="146"/>
      <c r="G123" s="146">
        <f>TRUNC(SUM(G121:G122),2)</f>
        <v>260.22</v>
      </c>
      <c r="H123" s="95"/>
      <c r="I123" s="14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</row>
    <row r="124" spans="1:99" s="21" customFormat="1" ht="15.75">
      <c r="A124" s="148" t="s">
        <v>33</v>
      </c>
      <c r="B124" s="149"/>
      <c r="C124" s="150"/>
      <c r="D124" s="149"/>
      <c r="E124" s="149"/>
      <c r="F124" s="159" t="s">
        <v>162</v>
      </c>
      <c r="G124" s="159"/>
      <c r="H124" s="129">
        <f>H119</f>
        <v>520.44</v>
      </c>
      <c r="I124" s="129">
        <f>I119</f>
        <v>637.38</v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</row>
    <row r="125" spans="1:9" ht="15.75">
      <c r="A125" s="148" t="s">
        <v>33</v>
      </c>
      <c r="B125" s="149"/>
      <c r="C125" s="150"/>
      <c r="D125" s="149"/>
      <c r="E125" s="149"/>
      <c r="F125" s="159" t="s">
        <v>158</v>
      </c>
      <c r="G125" s="159"/>
      <c r="H125" s="129">
        <f>H23+H39+H94+H105+H117+H124</f>
        <v>59841.00000000001</v>
      </c>
      <c r="I125" s="129">
        <f>I23+I39+I94+I105+I117+I124</f>
        <v>73283.72</v>
      </c>
    </row>
  </sheetData>
  <sheetProtection/>
  <mergeCells count="13">
    <mergeCell ref="A9:A10"/>
    <mergeCell ref="B9:B10"/>
    <mergeCell ref="D9:D10"/>
    <mergeCell ref="E9:E10"/>
    <mergeCell ref="D11:I11"/>
    <mergeCell ref="D12:I12"/>
    <mergeCell ref="D40:I40"/>
    <mergeCell ref="D3:H3"/>
    <mergeCell ref="D4:H4"/>
    <mergeCell ref="D5:I5"/>
    <mergeCell ref="D6:I6"/>
    <mergeCell ref="D7:I7"/>
    <mergeCell ref="F8:I9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portrait" paperSize="9" scale="39" r:id="rId2"/>
  <headerFooter>
    <oddFooter>&amp;C&amp;A&amp;RPágina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38"/>
  <sheetViews>
    <sheetView view="pageBreakPreview" zoomScale="71" zoomScaleSheetLayoutView="71" zoomScalePageLayoutView="0" workbookViewId="0" topLeftCell="A13">
      <selection activeCell="H27" sqref="H27:I27"/>
    </sheetView>
  </sheetViews>
  <sheetFormatPr defaultColWidth="9.140625" defaultRowHeight="15"/>
  <cols>
    <col min="1" max="1" width="9.140625" style="23" customWidth="1"/>
    <col min="2" max="2" width="23.7109375" style="47" customWidth="1"/>
    <col min="3" max="3" width="104.00390625" style="1" customWidth="1"/>
    <col min="4" max="4" width="11.140625" style="47" customWidth="1"/>
    <col min="5" max="5" width="11.7109375" style="47" customWidth="1"/>
    <col min="6" max="6" width="17.57421875" style="47" bestFit="1" customWidth="1"/>
    <col min="7" max="7" width="17.57421875" style="47" customWidth="1"/>
    <col min="8" max="8" width="16.8515625" style="47" customWidth="1"/>
    <col min="9" max="9" width="19.57421875" style="47" bestFit="1" customWidth="1"/>
    <col min="10" max="99" width="9.140625" style="26" customWidth="1"/>
    <col min="100" max="16384" width="9.140625" style="47" customWidth="1"/>
  </cols>
  <sheetData>
    <row r="1" spans="1:9" ht="15.75">
      <c r="A1" s="2"/>
      <c r="B1" s="36"/>
      <c r="C1" s="3" t="s">
        <v>13</v>
      </c>
      <c r="D1" s="4"/>
      <c r="E1" s="5"/>
      <c r="F1" s="6"/>
      <c r="G1" s="6"/>
      <c r="H1" s="6"/>
      <c r="I1" s="160"/>
    </row>
    <row r="2" spans="1:9" ht="15.75">
      <c r="A2" s="7"/>
      <c r="B2" s="37"/>
      <c r="C2" s="8" t="s">
        <v>14</v>
      </c>
      <c r="D2" s="9"/>
      <c r="E2" s="10"/>
      <c r="F2" s="11"/>
      <c r="G2" s="11"/>
      <c r="H2" s="11"/>
      <c r="I2" s="161"/>
    </row>
    <row r="3" spans="1:9" ht="15.75">
      <c r="A3" s="7"/>
      <c r="B3" s="37"/>
      <c r="C3" s="8" t="s">
        <v>15</v>
      </c>
      <c r="D3" s="186" t="s">
        <v>153</v>
      </c>
      <c r="E3" s="187"/>
      <c r="F3" s="187"/>
      <c r="G3" s="187"/>
      <c r="H3" s="187"/>
      <c r="I3" s="162"/>
    </row>
    <row r="4" spans="1:9" ht="21.75" customHeight="1">
      <c r="A4" s="7"/>
      <c r="B4" s="37"/>
      <c r="C4" s="22" t="s">
        <v>82</v>
      </c>
      <c r="D4" s="188" t="s">
        <v>154</v>
      </c>
      <c r="E4" s="189"/>
      <c r="F4" s="189"/>
      <c r="G4" s="189"/>
      <c r="H4" s="189"/>
      <c r="I4" s="163"/>
    </row>
    <row r="5" spans="1:9" ht="15.75" customHeight="1">
      <c r="A5" s="7"/>
      <c r="B5" s="37"/>
      <c r="C5" s="22" t="s">
        <v>83</v>
      </c>
      <c r="D5" s="190" t="s">
        <v>163</v>
      </c>
      <c r="E5" s="191"/>
      <c r="F5" s="191"/>
      <c r="G5" s="191"/>
      <c r="H5" s="191"/>
      <c r="I5" s="192"/>
    </row>
    <row r="6" spans="1:9" ht="18.75" customHeight="1">
      <c r="A6" s="7"/>
      <c r="B6" s="37"/>
      <c r="C6" s="32" t="s">
        <v>151</v>
      </c>
      <c r="D6" s="193" t="s">
        <v>81</v>
      </c>
      <c r="E6" s="194"/>
      <c r="F6" s="194"/>
      <c r="G6" s="194"/>
      <c r="H6" s="194"/>
      <c r="I6" s="195"/>
    </row>
    <row r="7" spans="1:9" ht="15.75">
      <c r="A7" s="7"/>
      <c r="B7" s="37"/>
      <c r="C7" s="38"/>
      <c r="D7" s="196" t="s">
        <v>88</v>
      </c>
      <c r="E7" s="197"/>
      <c r="F7" s="197"/>
      <c r="G7" s="197"/>
      <c r="H7" s="197"/>
      <c r="I7" s="198"/>
    </row>
    <row r="8" spans="1:9" ht="15" customHeight="1">
      <c r="A8" s="35"/>
      <c r="B8" s="31"/>
      <c r="C8" s="40" t="s">
        <v>164</v>
      </c>
      <c r="D8" s="42"/>
      <c r="E8" s="42"/>
      <c r="F8" s="217" t="s">
        <v>19</v>
      </c>
      <c r="G8" s="218"/>
      <c r="H8" s="218"/>
      <c r="I8" s="219"/>
    </row>
    <row r="9" spans="1:9" ht="31.5">
      <c r="A9" s="127" t="s">
        <v>16</v>
      </c>
      <c r="B9" s="29" t="s">
        <v>17</v>
      </c>
      <c r="C9" s="29" t="s">
        <v>55</v>
      </c>
      <c r="D9" s="12" t="s">
        <v>6</v>
      </c>
      <c r="E9" s="34" t="s">
        <v>18</v>
      </c>
      <c r="F9" s="34" t="s">
        <v>165</v>
      </c>
      <c r="G9" s="34" t="s">
        <v>166</v>
      </c>
      <c r="H9" s="34" t="s">
        <v>3</v>
      </c>
      <c r="I9" s="34" t="s">
        <v>167</v>
      </c>
    </row>
    <row r="10" spans="1:9" ht="15.75">
      <c r="A10" s="125" t="s">
        <v>33</v>
      </c>
      <c r="B10" s="126"/>
      <c r="C10" s="44" t="s">
        <v>87</v>
      </c>
      <c r="D10" s="180"/>
      <c r="E10" s="180"/>
      <c r="F10" s="180"/>
      <c r="G10" s="180"/>
      <c r="H10" s="180"/>
      <c r="I10" s="180"/>
    </row>
    <row r="11" spans="1:9" ht="15.75">
      <c r="A11" s="164" t="s">
        <v>8</v>
      </c>
      <c r="B11" s="165"/>
      <c r="C11" s="48" t="s">
        <v>138</v>
      </c>
      <c r="D11" s="214"/>
      <c r="E11" s="215"/>
      <c r="F11" s="215"/>
      <c r="G11" s="215"/>
      <c r="H11" s="215"/>
      <c r="I11" s="216"/>
    </row>
    <row r="12" spans="1:9" ht="30">
      <c r="A12" s="151" t="s">
        <v>4</v>
      </c>
      <c r="B12" s="151" t="s">
        <v>57</v>
      </c>
      <c r="C12" s="152" t="s">
        <v>139</v>
      </c>
      <c r="D12" s="151" t="s">
        <v>6</v>
      </c>
      <c r="E12" s="151">
        <f>'MEMÓRIA ONERADA'!E13</f>
        <v>1</v>
      </c>
      <c r="F12" s="153">
        <f>TRUNC('MEMÓRIA ONERADA'!F13,2)</f>
        <v>24.11</v>
      </c>
      <c r="G12" s="153">
        <f>TRUNC((F12*1.2247),2)</f>
        <v>29.52</v>
      </c>
      <c r="H12" s="153">
        <f>TRUNC((F12*E12),2)</f>
        <v>24.11</v>
      </c>
      <c r="I12" s="153">
        <f>TRUNC((E12*G12),2)</f>
        <v>29.52</v>
      </c>
    </row>
    <row r="13" spans="1:99" ht="36.75" customHeight="1">
      <c r="A13" s="39" t="s">
        <v>5</v>
      </c>
      <c r="B13" s="130" t="s">
        <v>48</v>
      </c>
      <c r="C13" s="131" t="s">
        <v>137</v>
      </c>
      <c r="D13" s="39" t="s">
        <v>46</v>
      </c>
      <c r="E13" s="39">
        <f>'MEMÓRIA ONERADA'!E18</f>
        <v>4.5</v>
      </c>
      <c r="F13" s="132">
        <f>TRUNC('MEMÓRIA ONERADA'!F18,2)</f>
        <v>87.29</v>
      </c>
      <c r="G13" s="153">
        <f>TRUNC((F13*1.2247),2)</f>
        <v>106.9</v>
      </c>
      <c r="H13" s="153">
        <f>TRUNC((F13*E13),2)</f>
        <v>392.8</v>
      </c>
      <c r="I13" s="153">
        <f>TRUNC((E13*G13),2)</f>
        <v>481.05</v>
      </c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</row>
    <row r="14" spans="1:99" ht="15.75">
      <c r="A14" s="166" t="s">
        <v>33</v>
      </c>
      <c r="B14" s="166"/>
      <c r="C14" s="168"/>
      <c r="D14" s="167"/>
      <c r="E14" s="167"/>
      <c r="F14" s="169" t="s">
        <v>39</v>
      </c>
      <c r="G14" s="169"/>
      <c r="H14" s="170">
        <f>SUM(H12:H13)</f>
        <v>416.91</v>
      </c>
      <c r="I14" s="170">
        <f>SUM(I12:I13)</f>
        <v>510.57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</row>
    <row r="15" spans="1:9" s="19" customFormat="1" ht="15.75">
      <c r="A15" s="156" t="s">
        <v>9</v>
      </c>
      <c r="B15" s="40"/>
      <c r="C15" s="157" t="s">
        <v>178</v>
      </c>
      <c r="D15" s="156"/>
      <c r="E15" s="156"/>
      <c r="F15" s="158"/>
      <c r="G15" s="155"/>
      <c r="H15" s="155"/>
      <c r="I15" s="155"/>
    </row>
    <row r="16" spans="1:99" ht="65.25" customHeight="1">
      <c r="A16" s="39" t="s">
        <v>34</v>
      </c>
      <c r="B16" s="130" t="s">
        <v>132</v>
      </c>
      <c r="C16" s="131" t="s">
        <v>168</v>
      </c>
      <c r="D16" s="39" t="s">
        <v>0</v>
      </c>
      <c r="E16" s="39">
        <f>'MEMÓRIA ONERADA'!E25</f>
        <v>2.5</v>
      </c>
      <c r="F16" s="132">
        <f>TRUNC('MEMÓRIA ONERADA'!F25,2)</f>
        <v>115.11</v>
      </c>
      <c r="G16" s="153">
        <f>TRUNC((F16*1.2247),2)</f>
        <v>140.97</v>
      </c>
      <c r="H16" s="153">
        <f>TRUNC((F16*E16),2)</f>
        <v>287.77</v>
      </c>
      <c r="I16" s="153">
        <f>TRUNC((E16*G16),2)</f>
        <v>352.42</v>
      </c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</row>
    <row r="17" spans="1:99" ht="65.25" customHeight="1">
      <c r="A17" s="39" t="s">
        <v>170</v>
      </c>
      <c r="B17" s="130" t="s">
        <v>171</v>
      </c>
      <c r="C17" s="131" t="s">
        <v>172</v>
      </c>
      <c r="D17" s="39" t="s">
        <v>0</v>
      </c>
      <c r="E17" s="39">
        <f>'MEMÓRIA ONERADA'!E32</f>
        <v>5.16</v>
      </c>
      <c r="F17" s="132">
        <f>TRUNC('MEMÓRIA ONERADA'!F32,2)</f>
        <v>29.91</v>
      </c>
      <c r="G17" s="153">
        <f>TRUNC((F17*1.2247),2)</f>
        <v>36.63</v>
      </c>
      <c r="H17" s="153">
        <f>TRUNC((F17*E17),2)</f>
        <v>154.33</v>
      </c>
      <c r="I17" s="153">
        <f>TRUNC((E17*G17),2)</f>
        <v>189.01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</row>
    <row r="18" spans="1:99" ht="15.75">
      <c r="A18" s="166" t="s">
        <v>33</v>
      </c>
      <c r="B18" s="166"/>
      <c r="C18" s="168"/>
      <c r="D18" s="167"/>
      <c r="E18" s="167"/>
      <c r="F18" s="169" t="s">
        <v>35</v>
      </c>
      <c r="G18" s="169"/>
      <c r="H18" s="170">
        <f>SUM(H16:H17)</f>
        <v>442.1</v>
      </c>
      <c r="I18" s="170">
        <f>SUM(I16:I17)</f>
        <v>541.4300000000001</v>
      </c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</row>
    <row r="19" spans="1:9" ht="15.75">
      <c r="A19" s="164" t="s">
        <v>10</v>
      </c>
      <c r="B19" s="49"/>
      <c r="C19" s="48" t="s">
        <v>159</v>
      </c>
      <c r="D19" s="214"/>
      <c r="E19" s="215"/>
      <c r="F19" s="215"/>
      <c r="G19" s="215"/>
      <c r="H19" s="215"/>
      <c r="I19" s="216"/>
    </row>
    <row r="20" spans="1:9" ht="53.25" customHeight="1">
      <c r="A20" s="39" t="s">
        <v>36</v>
      </c>
      <c r="B20" s="39" t="s">
        <v>76</v>
      </c>
      <c r="C20" s="131" t="s">
        <v>64</v>
      </c>
      <c r="D20" s="39" t="s">
        <v>1</v>
      </c>
      <c r="E20" s="39">
        <f>'MEMÓRIA ONERADA'!E41</f>
        <v>4</v>
      </c>
      <c r="F20" s="153">
        <f>TRUNC('MEMÓRIA ONERADA'!F41,2)</f>
        <v>182.15</v>
      </c>
      <c r="G20" s="153">
        <f aca="true" t="shared" si="0" ref="G20:G25">TRUNC((F20*1.2247),2)</f>
        <v>223.07</v>
      </c>
      <c r="H20" s="153">
        <f aca="true" t="shared" si="1" ref="H20:H25">TRUNC((F20*E20),2)</f>
        <v>728.6</v>
      </c>
      <c r="I20" s="153">
        <f aca="true" t="shared" si="2" ref="I20:I25">TRUNC((E20*G20),2)</f>
        <v>892.28</v>
      </c>
    </row>
    <row r="21" spans="1:9" ht="34.5" customHeight="1">
      <c r="A21" s="173" t="s">
        <v>37</v>
      </c>
      <c r="B21" s="173" t="s">
        <v>77</v>
      </c>
      <c r="C21" s="174" t="s">
        <v>68</v>
      </c>
      <c r="D21" s="173" t="s">
        <v>6</v>
      </c>
      <c r="E21" s="175">
        <f>'MEMÓRIA ONERADA'!E54</f>
        <v>6</v>
      </c>
      <c r="F21" s="176">
        <f>TRUNC('MEMÓRIA ONERADA'!F54,2)</f>
        <v>66.64</v>
      </c>
      <c r="G21" s="176">
        <f t="shared" si="0"/>
        <v>81.61</v>
      </c>
      <c r="H21" s="176">
        <f t="shared" si="1"/>
        <v>399.84</v>
      </c>
      <c r="I21" s="176">
        <f t="shared" si="2"/>
        <v>489.66</v>
      </c>
    </row>
    <row r="22" spans="1:9" ht="30">
      <c r="A22" s="39" t="s">
        <v>49</v>
      </c>
      <c r="B22" s="130" t="s">
        <v>126</v>
      </c>
      <c r="C22" s="131" t="s">
        <v>127</v>
      </c>
      <c r="D22" s="39" t="s">
        <v>1</v>
      </c>
      <c r="E22" s="39">
        <f>'MEMÓRIA ONERADA'!E60</f>
        <v>15</v>
      </c>
      <c r="F22" s="132">
        <f>TRUNC('MEMÓRIA ONERADA'!F60,2)</f>
        <v>9.24</v>
      </c>
      <c r="G22" s="153">
        <f t="shared" si="0"/>
        <v>11.31</v>
      </c>
      <c r="H22" s="153">
        <f t="shared" si="1"/>
        <v>138.6</v>
      </c>
      <c r="I22" s="153">
        <f t="shared" si="2"/>
        <v>169.65</v>
      </c>
    </row>
    <row r="23" spans="1:9" ht="60.75">
      <c r="A23" s="39" t="s">
        <v>50</v>
      </c>
      <c r="B23" s="39" t="s">
        <v>118</v>
      </c>
      <c r="C23" s="154" t="s">
        <v>119</v>
      </c>
      <c r="D23" s="39" t="s">
        <v>1</v>
      </c>
      <c r="E23" s="39">
        <f>'MEMÓRIA ONERADA'!E67</f>
        <v>18</v>
      </c>
      <c r="F23" s="132">
        <f>TRUNC('MEMÓRIA ONERADA'!F67,2)</f>
        <v>59.24</v>
      </c>
      <c r="G23" s="153">
        <f t="shared" si="0"/>
        <v>72.55</v>
      </c>
      <c r="H23" s="153">
        <f t="shared" si="1"/>
        <v>1066.32</v>
      </c>
      <c r="I23" s="153">
        <f t="shared" si="2"/>
        <v>1305.9</v>
      </c>
    </row>
    <row r="24" spans="1:99" ht="60">
      <c r="A24" s="39" t="s">
        <v>51</v>
      </c>
      <c r="B24" s="39" t="s">
        <v>78</v>
      </c>
      <c r="C24" s="131" t="s">
        <v>73</v>
      </c>
      <c r="D24" s="39" t="s">
        <v>1</v>
      </c>
      <c r="E24" s="39">
        <f>'MEMÓRIA ONERADA'!E74</f>
        <v>280</v>
      </c>
      <c r="F24" s="132">
        <f>TRUNC('MEMÓRIA ONERADA'!F74,2)</f>
        <v>139.91</v>
      </c>
      <c r="G24" s="153">
        <f t="shared" si="0"/>
        <v>171.34</v>
      </c>
      <c r="H24" s="153">
        <f t="shared" si="1"/>
        <v>39174.8</v>
      </c>
      <c r="I24" s="153">
        <f t="shared" si="2"/>
        <v>47975.2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</row>
    <row r="25" spans="1:99" ht="60">
      <c r="A25" s="39" t="s">
        <v>56</v>
      </c>
      <c r="B25" s="130" t="s">
        <v>122</v>
      </c>
      <c r="C25" s="131" t="s">
        <v>123</v>
      </c>
      <c r="D25" s="39" t="s">
        <v>1</v>
      </c>
      <c r="E25" s="39">
        <f>'MEMÓRIA ONERADA'!E81</f>
        <v>22</v>
      </c>
      <c r="F25" s="132">
        <f>TRUNC('MEMÓRIA ONERADA'!F81,2)</f>
        <v>180.79</v>
      </c>
      <c r="G25" s="153">
        <f t="shared" si="0"/>
        <v>221.41</v>
      </c>
      <c r="H25" s="153">
        <f t="shared" si="1"/>
        <v>3977.38</v>
      </c>
      <c r="I25" s="153">
        <f t="shared" si="2"/>
        <v>4871.02</v>
      </c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</row>
    <row r="26" spans="1:99" ht="30">
      <c r="A26" s="39" t="s">
        <v>179</v>
      </c>
      <c r="B26" s="130" t="s">
        <v>180</v>
      </c>
      <c r="C26" s="131" t="s">
        <v>181</v>
      </c>
      <c r="D26" s="39" t="s">
        <v>6</v>
      </c>
      <c r="E26" s="39">
        <v>1</v>
      </c>
      <c r="F26" s="132">
        <f>TRUNC('MEMÓRIA ONERADA'!F88,2)</f>
        <v>1973.41</v>
      </c>
      <c r="G26" s="153">
        <f>TRUNC((F26*1.2247),2)</f>
        <v>2416.83</v>
      </c>
      <c r="H26" s="153">
        <f>TRUNC((F26*E26),2)</f>
        <v>1973.41</v>
      </c>
      <c r="I26" s="153">
        <f>TRUNC((E26*G26),2)</f>
        <v>2416.83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</row>
    <row r="27" spans="1:99" ht="15.75">
      <c r="A27" s="166" t="s">
        <v>33</v>
      </c>
      <c r="B27" s="166"/>
      <c r="C27" s="168"/>
      <c r="D27" s="167"/>
      <c r="E27" s="167"/>
      <c r="F27" s="169" t="s">
        <v>38</v>
      </c>
      <c r="G27" s="169"/>
      <c r="H27" s="170">
        <f>SUM(H20:H26)</f>
        <v>47458.950000000004</v>
      </c>
      <c r="I27" s="170">
        <f>SUM(I20:I26)</f>
        <v>58120.53999999999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</row>
    <row r="28" spans="1:99" ht="15.75">
      <c r="A28" s="39" t="s">
        <v>11</v>
      </c>
      <c r="B28" s="130"/>
      <c r="C28" s="157" t="s">
        <v>140</v>
      </c>
      <c r="D28" s="39"/>
      <c r="E28" s="39"/>
      <c r="F28" s="132"/>
      <c r="G28" s="155"/>
      <c r="H28" s="155"/>
      <c r="I28" s="155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</row>
    <row r="29" spans="1:99" ht="45">
      <c r="A29" s="39" t="s">
        <v>7</v>
      </c>
      <c r="B29" s="130" t="s">
        <v>141</v>
      </c>
      <c r="C29" s="131" t="s">
        <v>142</v>
      </c>
      <c r="D29" s="39" t="s">
        <v>2</v>
      </c>
      <c r="E29" s="39">
        <f>'MEMÓRIA ONERADA'!E96</f>
        <v>8</v>
      </c>
      <c r="F29" s="132">
        <f>TRUNC('MEMÓRIA ONERADA'!F96,2)</f>
        <v>254.2</v>
      </c>
      <c r="G29" s="153">
        <f>TRUNC((F29*1.2247),2)</f>
        <v>311.31</v>
      </c>
      <c r="H29" s="153">
        <f>TRUNC((F29*E29),2)</f>
        <v>2033.6</v>
      </c>
      <c r="I29" s="153">
        <f>TRUNC((E29*G29),2)</f>
        <v>2490.48</v>
      </c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</row>
    <row r="30" spans="1:99" ht="15.75">
      <c r="A30" s="166" t="s">
        <v>33</v>
      </c>
      <c r="B30" s="166"/>
      <c r="C30" s="168"/>
      <c r="D30" s="167"/>
      <c r="E30" s="167"/>
      <c r="F30" s="169" t="s">
        <v>40</v>
      </c>
      <c r="G30" s="169"/>
      <c r="H30" s="170">
        <f>SUM(H29)</f>
        <v>2033.6</v>
      </c>
      <c r="I30" s="170">
        <f>SUM(I29)</f>
        <v>2490.48</v>
      </c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</row>
    <row r="31" spans="1:99" ht="15.75">
      <c r="A31" s="39" t="s">
        <v>12</v>
      </c>
      <c r="B31" s="130"/>
      <c r="C31" s="157" t="s">
        <v>145</v>
      </c>
      <c r="D31" s="39"/>
      <c r="E31" s="39"/>
      <c r="F31" s="132"/>
      <c r="G31" s="132"/>
      <c r="H31" s="39"/>
      <c r="I31" s="39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</row>
    <row r="32" spans="1:99" ht="15">
      <c r="A32" s="39" t="s">
        <v>41</v>
      </c>
      <c r="B32" s="130" t="s">
        <v>146</v>
      </c>
      <c r="C32" s="131" t="s">
        <v>147</v>
      </c>
      <c r="D32" s="39" t="s">
        <v>44</v>
      </c>
      <c r="E32" s="39">
        <f>'MEMÓRIA ONERADA'!E107</f>
        <v>180.88</v>
      </c>
      <c r="F32" s="132">
        <f>TRUNC('MEMÓRIA ONERADA'!F107,2)</f>
        <v>9.77</v>
      </c>
      <c r="G32" s="153">
        <f>TRUNC((F32*1.2247),2)</f>
        <v>11.96</v>
      </c>
      <c r="H32" s="153">
        <f>TRUNC((F32*E32),2)</f>
        <v>1767.19</v>
      </c>
      <c r="I32" s="153">
        <f>TRUNC((E32*G32),2)</f>
        <v>2163.32</v>
      </c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</row>
    <row r="33" spans="1:99" ht="30">
      <c r="A33" s="39" t="s">
        <v>42</v>
      </c>
      <c r="B33" s="130" t="s">
        <v>150</v>
      </c>
      <c r="C33" s="131" t="s">
        <v>177</v>
      </c>
      <c r="D33" s="39" t="s">
        <v>0</v>
      </c>
      <c r="E33" s="39">
        <f>'MEMÓRIA ONERADA'!E111</f>
        <v>6.25</v>
      </c>
      <c r="F33" s="132">
        <f>TRUNC('MEMÓRIA ONERADA'!F111,2)</f>
        <v>1152.29</v>
      </c>
      <c r="G33" s="153">
        <f>TRUNC((F33*1.2247),2)</f>
        <v>1411.2</v>
      </c>
      <c r="H33" s="153">
        <f>TRUNC((F33*E33),2)</f>
        <v>7201.81</v>
      </c>
      <c r="I33" s="153">
        <f>TRUNC((E33*G33),2)</f>
        <v>8820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</row>
    <row r="34" spans="1:99" ht="15.75">
      <c r="A34" s="166" t="s">
        <v>33</v>
      </c>
      <c r="B34" s="166"/>
      <c r="C34" s="168"/>
      <c r="D34" s="167"/>
      <c r="E34" s="167"/>
      <c r="F34" s="169" t="s">
        <v>43</v>
      </c>
      <c r="G34" s="169"/>
      <c r="H34" s="170">
        <f>SUM(H32:H33)</f>
        <v>8969</v>
      </c>
      <c r="I34" s="170">
        <f>SUM(I32:I33)</f>
        <v>10983.32</v>
      </c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</row>
    <row r="35" spans="1:99" ht="15.75">
      <c r="A35" s="39" t="s">
        <v>160</v>
      </c>
      <c r="B35" s="130"/>
      <c r="C35" s="157" t="s">
        <v>157</v>
      </c>
      <c r="D35" s="39"/>
      <c r="E35" s="39"/>
      <c r="F35" s="132"/>
      <c r="G35" s="132"/>
      <c r="H35" s="39"/>
      <c r="I35" s="39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</row>
    <row r="36" spans="1:9" s="133" customFormat="1" ht="60">
      <c r="A36" s="171" t="s">
        <v>161</v>
      </c>
      <c r="B36" s="177" t="s">
        <v>89</v>
      </c>
      <c r="C36" s="178" t="s">
        <v>90</v>
      </c>
      <c r="D36" s="171" t="s">
        <v>6</v>
      </c>
      <c r="E36" s="171">
        <f>'MEMÓRIA ONERADA'!E119</f>
        <v>2</v>
      </c>
      <c r="F36" s="172">
        <f>TRUNC('MEMÓRIA ONERADA'!F119,2)</f>
        <v>260.22</v>
      </c>
      <c r="G36" s="179">
        <f>TRUNC((F36*1.2247),2)</f>
        <v>318.69</v>
      </c>
      <c r="H36" s="179">
        <f>TRUNC((F36*E36),2)</f>
        <v>520.44</v>
      </c>
      <c r="I36" s="179">
        <f>TRUNC((E36*G36),2)</f>
        <v>637.38</v>
      </c>
    </row>
    <row r="37" spans="1:99" s="21" customFormat="1" ht="15.75">
      <c r="A37" s="166" t="s">
        <v>33</v>
      </c>
      <c r="B37" s="167"/>
      <c r="C37" s="168"/>
      <c r="D37" s="167"/>
      <c r="E37" s="167"/>
      <c r="F37" s="169" t="s">
        <v>162</v>
      </c>
      <c r="G37" s="169"/>
      <c r="H37" s="170">
        <f>SUM(H36)</f>
        <v>520.44</v>
      </c>
      <c r="I37" s="170">
        <f>SUM(I36)</f>
        <v>637.38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</row>
    <row r="38" spans="1:9" ht="15.75">
      <c r="A38" s="166" t="s">
        <v>33</v>
      </c>
      <c r="B38" s="167"/>
      <c r="C38" s="168"/>
      <c r="D38" s="167"/>
      <c r="E38" s="167"/>
      <c r="F38" s="169" t="s">
        <v>158</v>
      </c>
      <c r="G38" s="169"/>
      <c r="H38" s="170">
        <f>H14+H18+H27+H30+H34+H37</f>
        <v>59841.00000000001</v>
      </c>
      <c r="I38" s="170">
        <f>I14+I18+I27+I30+I34+I37</f>
        <v>73283.72</v>
      </c>
    </row>
  </sheetData>
  <sheetProtection/>
  <mergeCells count="8">
    <mergeCell ref="D19:I19"/>
    <mergeCell ref="F8:I8"/>
    <mergeCell ref="D11:I11"/>
    <mergeCell ref="D3:H3"/>
    <mergeCell ref="D4:H4"/>
    <mergeCell ref="D5:I5"/>
    <mergeCell ref="D6:I6"/>
    <mergeCell ref="D7:I7"/>
  </mergeCells>
  <printOptions/>
  <pageMargins left="0.5118110236220472" right="0.5118110236220472" top="0.7874015748031497" bottom="0.7874015748031497" header="0.31496062992125984" footer="0.31496062992125984"/>
  <pageSetup fitToHeight="1000" horizontalDpi="300" verticalDpi="300" orientation="landscape" paperSize="9" scale="50" r:id="rId2"/>
  <headerFooter>
    <oddFooter>&amp;C&amp;A&amp;RPágina &amp;P de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Zeros="0" zoomScale="40" zoomScaleNormal="40" zoomScaleSheetLayoutView="40" zoomScalePageLayoutView="0" workbookViewId="0" topLeftCell="A1">
      <selection activeCell="M13" sqref="M13"/>
    </sheetView>
  </sheetViews>
  <sheetFormatPr defaultColWidth="8.8515625" defaultRowHeight="15"/>
  <cols>
    <col min="1" max="1" width="12.7109375" style="18" customWidth="1"/>
    <col min="2" max="2" width="63.28125" style="18" customWidth="1"/>
    <col min="3" max="3" width="18.00390625" style="18" bestFit="1" customWidth="1"/>
    <col min="4" max="6" width="29.421875" style="18" customWidth="1"/>
    <col min="7" max="7" width="27.7109375" style="18" customWidth="1"/>
    <col min="8" max="8" width="23.421875" style="15" bestFit="1" customWidth="1"/>
    <col min="9" max="9" width="30.28125" style="51" customWidth="1"/>
    <col min="10" max="10" width="34.140625" style="15" customWidth="1"/>
    <col min="11" max="16384" width="8.8515625" style="15" customWidth="1"/>
  </cols>
  <sheetData>
    <row r="1" spans="1:8" ht="39.75" customHeight="1">
      <c r="A1" s="246" t="s">
        <v>13</v>
      </c>
      <c r="B1" s="247"/>
      <c r="C1" s="247"/>
      <c r="D1" s="247"/>
      <c r="E1" s="247"/>
      <c r="F1" s="247"/>
      <c r="G1" s="13"/>
      <c r="H1" s="14"/>
    </row>
    <row r="2" spans="1:8" ht="39.75" customHeight="1">
      <c r="A2" s="248" t="s">
        <v>14</v>
      </c>
      <c r="B2" s="249"/>
      <c r="C2" s="249"/>
      <c r="D2" s="249"/>
      <c r="E2" s="249"/>
      <c r="F2" s="249"/>
      <c r="G2" s="16"/>
      <c r="H2" s="14"/>
    </row>
    <row r="3" spans="1:8" ht="39.75" customHeight="1">
      <c r="A3" s="248" t="s">
        <v>85</v>
      </c>
      <c r="B3" s="249"/>
      <c r="C3" s="249"/>
      <c r="D3" s="249"/>
      <c r="E3" s="249"/>
      <c r="F3" s="249"/>
      <c r="G3" s="16"/>
      <c r="H3" s="14"/>
    </row>
    <row r="4" spans="1:8" ht="39.75" customHeight="1">
      <c r="A4" s="250" t="s">
        <v>82</v>
      </c>
      <c r="B4" s="251"/>
      <c r="C4" s="251"/>
      <c r="D4" s="251"/>
      <c r="E4" s="251"/>
      <c r="F4" s="251"/>
      <c r="G4" s="16"/>
      <c r="H4" s="14"/>
    </row>
    <row r="5" spans="1:8" ht="24.75" customHeight="1">
      <c r="A5" s="252" t="s">
        <v>83</v>
      </c>
      <c r="B5" s="253"/>
      <c r="C5" s="253"/>
      <c r="D5" s="253"/>
      <c r="E5" s="253"/>
      <c r="F5" s="253"/>
      <c r="G5" s="16"/>
      <c r="H5" s="14"/>
    </row>
    <row r="6" spans="1:10" ht="39.75" customHeight="1">
      <c r="A6" s="254" t="s">
        <v>86</v>
      </c>
      <c r="B6" s="255"/>
      <c r="C6" s="255"/>
      <c r="D6" s="255"/>
      <c r="E6" s="255"/>
      <c r="F6" s="255"/>
      <c r="G6" s="16"/>
      <c r="H6" s="14"/>
      <c r="J6" s="54"/>
    </row>
    <row r="7" spans="1:10" ht="39.75" customHeight="1">
      <c r="A7" s="231" t="s">
        <v>169</v>
      </c>
      <c r="B7" s="232"/>
      <c r="C7" s="232"/>
      <c r="D7" s="232"/>
      <c r="E7" s="232"/>
      <c r="F7" s="232"/>
      <c r="G7" s="16"/>
      <c r="H7" s="14"/>
      <c r="J7" s="54"/>
    </row>
    <row r="8" spans="1:10" ht="39.75" customHeight="1">
      <c r="A8" s="233"/>
      <c r="B8" s="234"/>
      <c r="C8" s="234"/>
      <c r="D8" s="234"/>
      <c r="E8" s="234"/>
      <c r="F8" s="234"/>
      <c r="G8" s="17"/>
      <c r="H8" s="14"/>
      <c r="J8" s="54"/>
    </row>
    <row r="9" spans="1:10" ht="39.75" customHeight="1">
      <c r="A9" s="235"/>
      <c r="B9" s="236"/>
      <c r="C9" s="236"/>
      <c r="D9" s="236"/>
      <c r="E9" s="236"/>
      <c r="F9" s="236"/>
      <c r="G9" s="17"/>
      <c r="H9" s="14"/>
      <c r="J9" s="54"/>
    </row>
    <row r="10" spans="1:10" ht="39.75" customHeight="1">
      <c r="A10" s="243" t="s">
        <v>21</v>
      </c>
      <c r="B10" s="244"/>
      <c r="C10" s="244"/>
      <c r="D10" s="244"/>
      <c r="E10" s="244"/>
      <c r="F10" s="244"/>
      <c r="G10" s="245"/>
      <c r="H10" s="14"/>
      <c r="J10" s="54"/>
    </row>
    <row r="11" spans="1:10" ht="39.75" customHeight="1">
      <c r="A11" s="237" t="s">
        <v>16</v>
      </c>
      <c r="B11" s="237" t="s">
        <v>22</v>
      </c>
      <c r="C11" s="240" t="s">
        <v>23</v>
      </c>
      <c r="D11" s="241"/>
      <c r="E11" s="241"/>
      <c r="F11" s="241"/>
      <c r="G11" s="52"/>
      <c r="H11" s="14"/>
      <c r="I11" s="53"/>
      <c r="J11" s="54"/>
    </row>
    <row r="12" spans="1:10" ht="39.75" customHeight="1">
      <c r="A12" s="238"/>
      <c r="B12" s="238"/>
      <c r="C12" s="240" t="s">
        <v>24</v>
      </c>
      <c r="D12" s="242"/>
      <c r="E12" s="240" t="s">
        <v>84</v>
      </c>
      <c r="F12" s="242"/>
      <c r="G12" s="52" t="s">
        <v>25</v>
      </c>
      <c r="H12" s="14"/>
      <c r="I12" s="53"/>
      <c r="J12" s="54"/>
    </row>
    <row r="13" spans="1:10" ht="39.75" customHeight="1">
      <c r="A13" s="239"/>
      <c r="B13" s="239"/>
      <c r="C13" s="55" t="s">
        <v>26</v>
      </c>
      <c r="D13" s="56" t="s">
        <v>27</v>
      </c>
      <c r="E13" s="55" t="s">
        <v>26</v>
      </c>
      <c r="F13" s="56" t="s">
        <v>27</v>
      </c>
      <c r="G13" s="52" t="s">
        <v>28</v>
      </c>
      <c r="H13" s="14"/>
      <c r="J13" s="54"/>
    </row>
    <row r="14" spans="1:10" ht="39.75" customHeight="1">
      <c r="A14" s="230"/>
      <c r="B14" s="230"/>
      <c r="C14" s="57"/>
      <c r="D14" s="57"/>
      <c r="E14" s="57"/>
      <c r="F14" s="57"/>
      <c r="G14" s="58"/>
      <c r="H14" s="51"/>
      <c r="J14" s="181">
        <f>'[4]PLANILHA TOTAL'!L21</f>
        <v>0</v>
      </c>
    </row>
    <row r="15" spans="1:10" ht="39.75" customHeight="1">
      <c r="A15" s="59" t="s">
        <v>8</v>
      </c>
      <c r="B15" s="60" t="s">
        <v>138</v>
      </c>
      <c r="C15" s="61">
        <v>1</v>
      </c>
      <c r="D15" s="62">
        <f aca="true" t="shared" si="0" ref="D15:D20">C15*G15</f>
        <v>510.57</v>
      </c>
      <c r="E15" s="63"/>
      <c r="F15" s="64"/>
      <c r="G15" s="65">
        <f>'PLANILHA FINAL'!I14</f>
        <v>510.57</v>
      </c>
      <c r="H15" s="66"/>
      <c r="I15" s="67"/>
      <c r="J15" s="181">
        <f>'[4]PLANILHA TOTAL'!L27</f>
        <v>0</v>
      </c>
    </row>
    <row r="16" spans="1:10" ht="26.25">
      <c r="A16" s="59" t="s">
        <v>9</v>
      </c>
      <c r="B16" s="68" t="s">
        <v>131</v>
      </c>
      <c r="C16" s="61">
        <v>1</v>
      </c>
      <c r="D16" s="62">
        <f t="shared" si="0"/>
        <v>541.4300000000001</v>
      </c>
      <c r="E16" s="63"/>
      <c r="F16" s="64"/>
      <c r="G16" s="65">
        <f>'PLANILHA FINAL'!I18</f>
        <v>541.4300000000001</v>
      </c>
      <c r="H16" s="66"/>
      <c r="I16" s="67"/>
      <c r="J16" s="181">
        <f>'[4]PLANILHA TOTAL'!L35</f>
        <v>0</v>
      </c>
    </row>
    <row r="17" spans="1:10" ht="26.25">
      <c r="A17" s="59" t="s">
        <v>10</v>
      </c>
      <c r="B17" s="68" t="s">
        <v>159</v>
      </c>
      <c r="C17" s="83">
        <v>0.4</v>
      </c>
      <c r="D17" s="62">
        <f t="shared" si="0"/>
        <v>23248.216</v>
      </c>
      <c r="E17" s="83">
        <v>0.6</v>
      </c>
      <c r="F17" s="62">
        <f>E17*G17</f>
        <v>34872.32399999999</v>
      </c>
      <c r="G17" s="65">
        <f>'PLANILHA FINAL'!I27</f>
        <v>58120.53999999999</v>
      </c>
      <c r="H17" s="66"/>
      <c r="I17" s="67"/>
      <c r="J17" s="182"/>
    </row>
    <row r="18" spans="1:10" ht="26.25">
      <c r="A18" s="59" t="s">
        <v>11</v>
      </c>
      <c r="B18" s="68" t="s">
        <v>140</v>
      </c>
      <c r="C18" s="83">
        <v>1</v>
      </c>
      <c r="D18" s="62">
        <f t="shared" si="0"/>
        <v>2490.48</v>
      </c>
      <c r="E18" s="83">
        <v>1</v>
      </c>
      <c r="F18" s="62">
        <f>E18*G18</f>
        <v>2490.48</v>
      </c>
      <c r="G18" s="65">
        <f>'PLANILHA FINAL'!I30</f>
        <v>2490.48</v>
      </c>
      <c r="H18" s="66"/>
      <c r="I18" s="67"/>
      <c r="J18" s="182"/>
    </row>
    <row r="19" spans="1:10" ht="26.25">
      <c r="A19" s="59" t="s">
        <v>12</v>
      </c>
      <c r="B19" s="68" t="s">
        <v>145</v>
      </c>
      <c r="C19" s="83">
        <v>1</v>
      </c>
      <c r="D19" s="62">
        <f t="shared" si="0"/>
        <v>10983.32</v>
      </c>
      <c r="E19" s="63"/>
      <c r="F19" s="64"/>
      <c r="G19" s="65">
        <f>'PLANILHA FINAL'!I34</f>
        <v>10983.32</v>
      </c>
      <c r="H19" s="66"/>
      <c r="I19" s="67"/>
      <c r="J19" s="182"/>
    </row>
    <row r="20" spans="1:10" ht="26.25">
      <c r="A20" s="59" t="s">
        <v>160</v>
      </c>
      <c r="B20" s="68" t="s">
        <v>157</v>
      </c>
      <c r="C20" s="83">
        <v>0.9</v>
      </c>
      <c r="D20" s="62">
        <f t="shared" si="0"/>
        <v>573.642</v>
      </c>
      <c r="E20" s="83">
        <v>0.1</v>
      </c>
      <c r="F20" s="62">
        <f>E20*G20</f>
        <v>63.738</v>
      </c>
      <c r="G20" s="65">
        <f>'PLANILHA FINAL'!I37</f>
        <v>637.38</v>
      </c>
      <c r="H20" s="66"/>
      <c r="I20" s="67"/>
      <c r="J20" s="69"/>
    </row>
    <row r="21" spans="1:8" ht="39.75" customHeight="1">
      <c r="A21" s="70"/>
      <c r="B21" s="71"/>
      <c r="C21" s="72"/>
      <c r="D21" s="73"/>
      <c r="E21" s="73"/>
      <c r="F21" s="73"/>
      <c r="G21" s="74">
        <f>SUM(G15:G20)</f>
        <v>73283.72</v>
      </c>
      <c r="H21" s="66"/>
    </row>
    <row r="22" spans="1:8" ht="39.75" customHeight="1">
      <c r="A22" s="228" t="s">
        <v>29</v>
      </c>
      <c r="B22" s="229"/>
      <c r="C22" s="220">
        <f>SUM(D15:D20)</f>
        <v>38347.658</v>
      </c>
      <c r="D22" s="221"/>
      <c r="E22" s="220">
        <f>SUM(F15:F20)</f>
        <v>37426.541999999994</v>
      </c>
      <c r="F22" s="221"/>
      <c r="G22" s="75"/>
      <c r="H22" s="67"/>
    </row>
    <row r="23" spans="1:9" ht="39.75" customHeight="1">
      <c r="A23" s="228" t="s">
        <v>30</v>
      </c>
      <c r="B23" s="229"/>
      <c r="C23" s="222">
        <f>C22</f>
        <v>38347.658</v>
      </c>
      <c r="D23" s="223"/>
      <c r="E23" s="222">
        <f>E22</f>
        <v>37426.541999999994</v>
      </c>
      <c r="F23" s="223"/>
      <c r="G23" s="76"/>
      <c r="H23" s="77"/>
      <c r="I23" s="67"/>
    </row>
    <row r="24" spans="1:8" ht="39.75" customHeight="1">
      <c r="A24" s="226" t="s">
        <v>31</v>
      </c>
      <c r="B24" s="227"/>
      <c r="C24" s="224">
        <f>C22/G21</f>
        <v>0.5232766295160781</v>
      </c>
      <c r="D24" s="225"/>
      <c r="E24" s="224">
        <f>E22/G21</f>
        <v>0.5107074531696807</v>
      </c>
      <c r="F24" s="225"/>
      <c r="G24" s="78"/>
      <c r="H24" s="79"/>
    </row>
    <row r="25" spans="1:8" ht="39.75" customHeight="1">
      <c r="A25" s="226" t="s">
        <v>32</v>
      </c>
      <c r="B25" s="227"/>
      <c r="C25" s="224">
        <f>C24</f>
        <v>0.5232766295160781</v>
      </c>
      <c r="D25" s="225"/>
      <c r="E25" s="224">
        <f>C25+E24</f>
        <v>1.033984082685759</v>
      </c>
      <c r="F25" s="225"/>
      <c r="G25" s="80"/>
      <c r="H25" s="51"/>
    </row>
    <row r="26" ht="25.5">
      <c r="H26" s="81"/>
    </row>
    <row r="27" ht="30">
      <c r="G27" s="82"/>
    </row>
    <row r="28" ht="30">
      <c r="G28" s="82"/>
    </row>
  </sheetData>
  <sheetProtection/>
  <mergeCells count="28">
    <mergeCell ref="A10:G10"/>
    <mergeCell ref="E12:F12"/>
    <mergeCell ref="A1:F1"/>
    <mergeCell ref="A2:F2"/>
    <mergeCell ref="A3:F3"/>
    <mergeCell ref="A4:F4"/>
    <mergeCell ref="A5:F5"/>
    <mergeCell ref="A6:F6"/>
    <mergeCell ref="A14:B14"/>
    <mergeCell ref="A22:B22"/>
    <mergeCell ref="C22:D22"/>
    <mergeCell ref="A7:F7"/>
    <mergeCell ref="A8:F8"/>
    <mergeCell ref="A9:F9"/>
    <mergeCell ref="A11:A13"/>
    <mergeCell ref="B11:B13"/>
    <mergeCell ref="C11:F11"/>
    <mergeCell ref="C12:D12"/>
    <mergeCell ref="E22:F22"/>
    <mergeCell ref="E23:F23"/>
    <mergeCell ref="E24:F24"/>
    <mergeCell ref="E25:F25"/>
    <mergeCell ref="A25:B25"/>
    <mergeCell ref="C25:D25"/>
    <mergeCell ref="A23:B23"/>
    <mergeCell ref="C23:D23"/>
    <mergeCell ref="A24:B24"/>
    <mergeCell ref="C24:D24"/>
  </mergeCells>
  <printOptions horizontalCentered="1" verticalCentered="1"/>
  <pageMargins left="0.3937007874015748" right="0.3937007874015748" top="0.984251968503937" bottom="0.3937007874015748" header="0" footer="0"/>
  <pageSetup fitToWidth="0" fitToHeight="1" horizontalDpi="300" verticalDpi="300" orientation="landscape" paperSize="9" scale="50" r:id="rId2"/>
  <headerFooter alignWithMargins="0">
    <oddFooter>&amp;C&amp;14&amp;A&amp;R&amp;14Página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Antonio Nicolau Macedo Cunha</dc:creator>
  <cp:keywords/>
  <dc:description/>
  <cp:lastModifiedBy>Vitor Silva Duarte</cp:lastModifiedBy>
  <cp:lastPrinted>2021-07-14T18:05:03Z</cp:lastPrinted>
  <dcterms:created xsi:type="dcterms:W3CDTF">2017-11-22T13:14:51Z</dcterms:created>
  <dcterms:modified xsi:type="dcterms:W3CDTF">2021-07-14T18:08:14Z</dcterms:modified>
  <cp:category/>
  <cp:version/>
  <cp:contentType/>
  <cp:contentStatus/>
</cp:coreProperties>
</file>